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Dados para o site\"/>
    </mc:Choice>
  </mc:AlternateContent>
  <bookViews>
    <workbookView xWindow="14520" yWindow="330" windowWidth="13920" windowHeight="11640" firstSheet="4" activeTab="4"/>
  </bookViews>
  <sheets>
    <sheet name="Balança Comercial CIF" sheetId="22" state="hidden" r:id="rId1"/>
    <sheet name="Balança Comercial Geográfica " sheetId="21" state="hidden" r:id="rId2"/>
    <sheet name="Parceiros comerciais " sheetId="23" state="hidden" r:id="rId3"/>
    <sheet name="Tx de Cambio exc. ESP e China" sheetId="29" state="hidden" r:id="rId4"/>
    <sheet name="Taxa de Câmbio Efetiva" sheetId="36" r:id="rId5"/>
    <sheet name="Publicação Base Dez2014 " sheetId="17" state="hidden" r:id="rId6"/>
    <sheet name="Publicação exc. ESP e China " sheetId="30" state="hidden" r:id="rId7"/>
    <sheet name="Publicação Base 2008" sheetId="33" state="hidden" r:id="rId8"/>
    <sheet name="Análise Gráfica" sheetId="2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7">'Publicação Base 2008'!$C$3:$L$52</definedName>
    <definedName name="_xlnm.Print_Area" localSheetId="5">'Publicação Base Dez2014 '!$B$1:$M$90</definedName>
    <definedName name="_xlnm.Print_Area" localSheetId="6">'Publicação exc. ESP e China '!$B$1:$M$77</definedName>
    <definedName name="_xlnm.Print_Area" localSheetId="4">'Taxa de Câmbio Efetiva'!$B$2:$AM$18</definedName>
  </definedNames>
  <calcPr calcId="162913"/>
</workbook>
</file>

<file path=xl/calcChain.xml><?xml version="1.0" encoding="utf-8"?>
<calcChain xmlns="http://schemas.openxmlformats.org/spreadsheetml/2006/main">
  <c r="I74" i="17" l="1"/>
  <c r="I72" i="17"/>
  <c r="I60" i="17"/>
  <c r="J59" i="17"/>
  <c r="F60" i="17"/>
  <c r="F72" i="17"/>
  <c r="J74" i="17" s="1"/>
  <c r="F71" i="17" l="1"/>
  <c r="J72" i="17" s="1"/>
  <c r="I47" i="17"/>
  <c r="I34" i="17"/>
  <c r="I33" i="17"/>
  <c r="J20" i="17"/>
  <c r="I21" i="17"/>
  <c r="I20" i="17"/>
  <c r="F21" i="17"/>
  <c r="J21" i="17" s="1"/>
  <c r="I23" i="17"/>
  <c r="F47" i="17"/>
  <c r="J60" i="17" s="1"/>
  <c r="F34" i="17"/>
  <c r="J47" i="17" l="1"/>
  <c r="J34" i="17"/>
  <c r="I71" i="17" l="1"/>
  <c r="BH37" i="29"/>
  <c r="BH23" i="29"/>
  <c r="BH34" i="29" l="1"/>
  <c r="H49" i="33"/>
  <c r="G49" i="33"/>
  <c r="F49" i="33"/>
  <c r="H48" i="33"/>
  <c r="G48" i="33"/>
  <c r="F48" i="33"/>
  <c r="J48" i="33" s="1"/>
  <c r="J47" i="33"/>
  <c r="H47" i="33"/>
  <c r="G47" i="33"/>
  <c r="H46" i="33"/>
  <c r="G46" i="33"/>
  <c r="H45" i="33"/>
  <c r="G45" i="33"/>
  <c r="F45" i="33"/>
  <c r="J46" i="33" s="1"/>
  <c r="J44" i="33"/>
  <c r="H44" i="33"/>
  <c r="G44" i="33"/>
  <c r="J43" i="33"/>
  <c r="H43" i="33"/>
  <c r="G43" i="33"/>
  <c r="H42" i="33"/>
  <c r="G42" i="33"/>
  <c r="H41" i="33"/>
  <c r="G41" i="33"/>
  <c r="F41" i="33"/>
  <c r="J42" i="33" s="1"/>
  <c r="E41" i="33"/>
  <c r="J40" i="33"/>
  <c r="H40" i="33"/>
  <c r="L40" i="33" s="1"/>
  <c r="G40" i="33"/>
  <c r="K40" i="33" s="1"/>
  <c r="J39" i="33"/>
  <c r="I39" i="33"/>
  <c r="J38" i="33"/>
  <c r="I38" i="33"/>
  <c r="H38" i="33"/>
  <c r="L38" i="33" s="1"/>
  <c r="G38" i="33"/>
  <c r="K39" i="33" s="1"/>
  <c r="L36" i="33"/>
  <c r="K36" i="33"/>
  <c r="J36" i="33"/>
  <c r="L35" i="33"/>
  <c r="K35" i="33"/>
  <c r="J35" i="33"/>
  <c r="L34" i="33"/>
  <c r="K34" i="33"/>
  <c r="J34" i="33"/>
  <c r="L33" i="33"/>
  <c r="K33" i="33"/>
  <c r="J33" i="33"/>
  <c r="L32" i="33"/>
  <c r="K32" i="33"/>
  <c r="J32" i="33"/>
  <c r="L31" i="33"/>
  <c r="K31" i="33"/>
  <c r="J31" i="33"/>
  <c r="L30" i="33"/>
  <c r="K30" i="33"/>
  <c r="J30" i="33"/>
  <c r="L29" i="33"/>
  <c r="K29" i="33"/>
  <c r="J29" i="33"/>
  <c r="L28" i="33"/>
  <c r="K28" i="33"/>
  <c r="J28" i="33"/>
  <c r="L27" i="33"/>
  <c r="K27" i="33"/>
  <c r="J27" i="33"/>
  <c r="L26" i="33"/>
  <c r="K26" i="33"/>
  <c r="J26" i="33"/>
  <c r="L25" i="33"/>
  <c r="K25" i="33"/>
  <c r="J25" i="33"/>
  <c r="I25" i="33"/>
  <c r="L23" i="33"/>
  <c r="K23" i="33"/>
  <c r="J23" i="33"/>
  <c r="I23" i="33"/>
  <c r="L22" i="33"/>
  <c r="K22" i="33"/>
  <c r="J22" i="33"/>
  <c r="I22" i="33"/>
  <c r="L21" i="33"/>
  <c r="K21" i="33"/>
  <c r="J21" i="33"/>
  <c r="I21" i="33"/>
  <c r="L20" i="33"/>
  <c r="K20" i="33"/>
  <c r="J20" i="33"/>
  <c r="I20" i="33"/>
  <c r="L19" i="33"/>
  <c r="K19" i="33"/>
  <c r="J19" i="33"/>
  <c r="I19" i="33"/>
  <c r="L18" i="33"/>
  <c r="K18" i="33"/>
  <c r="J18" i="33"/>
  <c r="I18" i="33"/>
  <c r="L17" i="33"/>
  <c r="K17" i="33"/>
  <c r="J17" i="33"/>
  <c r="I17" i="33"/>
  <c r="L16" i="33"/>
  <c r="K16" i="33"/>
  <c r="J16" i="33"/>
  <c r="I16" i="33"/>
  <c r="L15" i="33"/>
  <c r="K15" i="33"/>
  <c r="J15" i="33"/>
  <c r="I15" i="33"/>
  <c r="L14" i="33"/>
  <c r="K14" i="33"/>
  <c r="J14" i="33"/>
  <c r="I14" i="33"/>
  <c r="L13" i="33"/>
  <c r="K13" i="33"/>
  <c r="J13" i="33"/>
  <c r="I13" i="33"/>
  <c r="L12" i="33"/>
  <c r="K12" i="33"/>
  <c r="J12" i="33"/>
  <c r="I12" i="33"/>
  <c r="L11" i="33"/>
  <c r="K11" i="33"/>
  <c r="J11" i="33"/>
  <c r="I11" i="33"/>
  <c r="K49" i="33" l="1"/>
  <c r="BH43" i="29"/>
  <c r="K45" i="33"/>
  <c r="K48" i="33"/>
  <c r="K41" i="33"/>
  <c r="L42" i="33"/>
  <c r="J49" i="33"/>
  <c r="L39" i="33"/>
  <c r="K43" i="33"/>
  <c r="L44" i="33"/>
  <c r="L45" i="33"/>
  <c r="J41" i="33"/>
  <c r="L47" i="33"/>
  <c r="L48" i="33"/>
  <c r="L49" i="33"/>
  <c r="K46" i="33"/>
  <c r="L41" i="33"/>
  <c r="K42" i="33"/>
  <c r="J45" i="33"/>
  <c r="L43" i="33"/>
  <c r="K44" i="33"/>
  <c r="L46" i="33"/>
  <c r="K47" i="33"/>
  <c r="I70" i="30" l="1"/>
  <c r="H70" i="30"/>
  <c r="G70" i="30"/>
  <c r="F70" i="30"/>
  <c r="I69" i="30"/>
  <c r="F69" i="30"/>
  <c r="I68" i="30"/>
  <c r="F68" i="30"/>
  <c r="I67" i="30"/>
  <c r="F67" i="30"/>
  <c r="I66" i="30"/>
  <c r="F66" i="30"/>
  <c r="I65" i="30"/>
  <c r="F65" i="30"/>
  <c r="I64" i="30"/>
  <c r="F64" i="30"/>
  <c r="I63" i="30"/>
  <c r="F63" i="30"/>
  <c r="I62" i="30"/>
  <c r="F62" i="30"/>
  <c r="I61" i="30"/>
  <c r="F61" i="30"/>
  <c r="J61" i="30" s="1"/>
  <c r="J59" i="30"/>
  <c r="I59" i="30"/>
  <c r="J58" i="30"/>
  <c r="I58" i="30"/>
  <c r="J57" i="30"/>
  <c r="I57" i="30"/>
  <c r="J56" i="30"/>
  <c r="I56" i="30"/>
  <c r="J55" i="30"/>
  <c r="I55" i="30"/>
  <c r="J54" i="30"/>
  <c r="I54" i="30"/>
  <c r="J53" i="30"/>
  <c r="I53" i="30"/>
  <c r="J52" i="30"/>
  <c r="I52" i="30"/>
  <c r="J51" i="30"/>
  <c r="I51" i="30"/>
  <c r="J50" i="30"/>
  <c r="I50" i="30"/>
  <c r="J49" i="30"/>
  <c r="I49" i="30"/>
  <c r="J48" i="30"/>
  <c r="I48" i="30"/>
  <c r="J46" i="30"/>
  <c r="I46" i="30"/>
  <c r="J45" i="30"/>
  <c r="I45" i="30"/>
  <c r="J44" i="30"/>
  <c r="I44" i="30"/>
  <c r="J43" i="30"/>
  <c r="I43" i="30"/>
  <c r="J42" i="30"/>
  <c r="I42" i="30"/>
  <c r="J41" i="30"/>
  <c r="I41" i="30"/>
  <c r="J40" i="30"/>
  <c r="I40" i="30"/>
  <c r="J39" i="30"/>
  <c r="I39" i="30"/>
  <c r="J38" i="30"/>
  <c r="I38" i="30"/>
  <c r="J37" i="30"/>
  <c r="I37" i="30"/>
  <c r="J36" i="30"/>
  <c r="I36" i="30"/>
  <c r="J35" i="30"/>
  <c r="I35" i="30"/>
  <c r="J33" i="30"/>
  <c r="I33" i="30"/>
  <c r="J32" i="30"/>
  <c r="I32" i="30"/>
  <c r="J31" i="30"/>
  <c r="I31" i="30"/>
  <c r="J30" i="30"/>
  <c r="I30" i="30"/>
  <c r="J29" i="30"/>
  <c r="I29" i="30"/>
  <c r="J28" i="30"/>
  <c r="I28" i="30"/>
  <c r="J27" i="30"/>
  <c r="I27" i="30"/>
  <c r="J26" i="30"/>
  <c r="I26" i="30"/>
  <c r="J25" i="30"/>
  <c r="I25" i="30"/>
  <c r="J24" i="30"/>
  <c r="I24" i="30"/>
  <c r="J23" i="30"/>
  <c r="I23" i="30"/>
  <c r="J20" i="30"/>
  <c r="I20" i="30"/>
  <c r="J19" i="30"/>
  <c r="I19" i="30"/>
  <c r="J18" i="30"/>
  <c r="I18" i="30"/>
  <c r="J17" i="30"/>
  <c r="I17" i="30"/>
  <c r="J16" i="30"/>
  <c r="I16" i="30"/>
  <c r="J15" i="30"/>
  <c r="I15" i="30"/>
  <c r="J14" i="30"/>
  <c r="I14" i="30"/>
  <c r="J13" i="30"/>
  <c r="I13" i="30"/>
  <c r="J12" i="30"/>
  <c r="I12" i="30"/>
  <c r="J11" i="30"/>
  <c r="I11" i="30"/>
  <c r="J10" i="30"/>
  <c r="I10" i="30"/>
  <c r="AX1" i="29"/>
  <c r="AW1" i="29"/>
  <c r="AV1" i="29"/>
  <c r="AU1" i="29"/>
  <c r="AT1" i="29"/>
  <c r="AS1" i="29"/>
  <c r="AR1" i="29"/>
  <c r="AQ1" i="29"/>
  <c r="AP1" i="29"/>
  <c r="AO1" i="29"/>
  <c r="AN1" i="29"/>
  <c r="AM1" i="29"/>
  <c r="AL1" i="29"/>
  <c r="AK1" i="29"/>
  <c r="AJ1" i="29"/>
  <c r="AI1" i="29"/>
  <c r="AH1" i="29"/>
  <c r="AG1" i="29"/>
  <c r="AF1" i="29"/>
  <c r="AE1" i="29"/>
  <c r="AD1" i="29"/>
  <c r="AC1" i="29"/>
  <c r="AB1" i="29"/>
  <c r="AA1" i="29"/>
  <c r="Z1" i="29"/>
  <c r="Y1" i="29"/>
  <c r="X1" i="29"/>
  <c r="W1" i="29"/>
  <c r="V1" i="29"/>
  <c r="U1" i="29"/>
  <c r="T1" i="29"/>
  <c r="S1" i="29"/>
  <c r="R1" i="29"/>
  <c r="Q1" i="29"/>
  <c r="P1" i="29"/>
  <c r="O1" i="29"/>
  <c r="BG23" i="29"/>
  <c r="BF23" i="29"/>
  <c r="BE23" i="29"/>
  <c r="BD23" i="29"/>
  <c r="BC23" i="29"/>
  <c r="BB23" i="29"/>
  <c r="BA23" i="29"/>
  <c r="AZ23" i="29"/>
  <c r="AY23" i="29"/>
  <c r="AX23" i="29"/>
  <c r="AW23" i="29"/>
  <c r="AV23" i="29"/>
  <c r="AU23" i="29"/>
  <c r="AT23" i="29"/>
  <c r="AS23" i="29"/>
  <c r="AR23" i="29"/>
  <c r="AQ23" i="29"/>
  <c r="AP23" i="29"/>
  <c r="AO23" i="29"/>
  <c r="AN23" i="29"/>
  <c r="AM23" i="29"/>
  <c r="AL23" i="29"/>
  <c r="AK23" i="29"/>
  <c r="AJ23" i="29"/>
  <c r="AI23" i="29"/>
  <c r="AH23" i="29"/>
  <c r="AH27" i="29" s="1"/>
  <c r="AG23" i="29"/>
  <c r="AF23" i="29"/>
  <c r="AE23" i="29"/>
  <c r="AD23" i="29"/>
  <c r="AD27" i="29" s="1"/>
  <c r="AC23" i="29"/>
  <c r="AB23" i="29"/>
  <c r="AA23" i="29"/>
  <c r="Z23" i="29"/>
  <c r="Z27" i="29" s="1"/>
  <c r="Y23" i="29"/>
  <c r="X23" i="29"/>
  <c r="W23" i="29"/>
  <c r="V23" i="29"/>
  <c r="V27" i="29" s="1"/>
  <c r="U23" i="29"/>
  <c r="T23" i="29"/>
  <c r="S23" i="29"/>
  <c r="R23" i="29"/>
  <c r="R27" i="29" s="1"/>
  <c r="Q23" i="29"/>
  <c r="P23" i="29"/>
  <c r="O23" i="29"/>
  <c r="N23" i="29"/>
  <c r="N27" i="29" s="1"/>
  <c r="M23" i="29"/>
  <c r="L23" i="29"/>
  <c r="K23" i="29"/>
  <c r="J23" i="29"/>
  <c r="J27" i="29" s="1"/>
  <c r="I23" i="29"/>
  <c r="H23" i="29"/>
  <c r="G23" i="29"/>
  <c r="F23" i="29"/>
  <c r="F27" i="29" s="1"/>
  <c r="E23" i="29"/>
  <c r="D23" i="29"/>
  <c r="C23" i="29"/>
  <c r="Y17" i="29"/>
  <c r="Y18" i="29" s="1"/>
  <c r="Y22" i="29" s="1"/>
  <c r="X17" i="29"/>
  <c r="X18" i="29" s="1"/>
  <c r="X22" i="29" s="1"/>
  <c r="W17" i="29"/>
  <c r="W18" i="29" s="1"/>
  <c r="W22" i="29" s="1"/>
  <c r="V17" i="29"/>
  <c r="V18" i="29" s="1"/>
  <c r="V22" i="29" s="1"/>
  <c r="U17" i="29"/>
  <c r="U18" i="29" s="1"/>
  <c r="U22" i="29" s="1"/>
  <c r="T17" i="29"/>
  <c r="T18" i="29" s="1"/>
  <c r="T22" i="29" s="1"/>
  <c r="S17" i="29"/>
  <c r="S18" i="29" s="1"/>
  <c r="S22" i="29" s="1"/>
  <c r="R17" i="29"/>
  <c r="R18" i="29" s="1"/>
  <c r="R22" i="29" s="1"/>
  <c r="Q17" i="29"/>
  <c r="Q18" i="29" s="1"/>
  <c r="Q22" i="29" s="1"/>
  <c r="P17" i="29"/>
  <c r="P18" i="29" s="1"/>
  <c r="P22" i="29" s="1"/>
  <c r="O17" i="29"/>
  <c r="O18" i="29" s="1"/>
  <c r="O22" i="29" s="1"/>
  <c r="N17" i="29"/>
  <c r="N18" i="29" s="1"/>
  <c r="N22" i="29" s="1"/>
  <c r="M17" i="29"/>
  <c r="M18" i="29" s="1"/>
  <c r="M22" i="29" s="1"/>
  <c r="L17" i="29"/>
  <c r="L18" i="29" s="1"/>
  <c r="L22" i="29" s="1"/>
  <c r="K17" i="29"/>
  <c r="K18" i="29" s="1"/>
  <c r="K22" i="29" s="1"/>
  <c r="J17" i="29"/>
  <c r="J18" i="29" s="1"/>
  <c r="J22" i="29" s="1"/>
  <c r="I17" i="29"/>
  <c r="I18" i="29" s="1"/>
  <c r="I22" i="29" s="1"/>
  <c r="H17" i="29"/>
  <c r="H18" i="29" s="1"/>
  <c r="H22" i="29" s="1"/>
  <c r="G17" i="29"/>
  <c r="G18" i="29" s="1"/>
  <c r="G22" i="29" s="1"/>
  <c r="F17" i="29"/>
  <c r="F18" i="29" s="1"/>
  <c r="F22" i="29" s="1"/>
  <c r="E17" i="29"/>
  <c r="E18" i="29" s="1"/>
  <c r="E22" i="29" s="1"/>
  <c r="D17" i="29"/>
  <c r="D18" i="29" s="1"/>
  <c r="D22" i="29" s="1"/>
  <c r="C17" i="29"/>
  <c r="C18" i="29" s="1"/>
  <c r="C22" i="29" s="1"/>
  <c r="AX14" i="29"/>
  <c r="D27" i="29" l="1"/>
  <c r="H27" i="29"/>
  <c r="L27" i="29"/>
  <c r="P27" i="29"/>
  <c r="T27" i="29"/>
  <c r="X27" i="29"/>
  <c r="AB27" i="29"/>
  <c r="AF27" i="29"/>
  <c r="AJ27" i="29"/>
  <c r="AN27" i="29"/>
  <c r="J64" i="30"/>
  <c r="J68" i="30"/>
  <c r="AL27" i="29"/>
  <c r="BH27" i="29"/>
  <c r="J63" i="30"/>
  <c r="AR27" i="29"/>
  <c r="AZ27" i="29"/>
  <c r="BD27" i="29"/>
  <c r="E27" i="29"/>
  <c r="I27" i="29"/>
  <c r="M27" i="29"/>
  <c r="Q27" i="29"/>
  <c r="U27" i="29"/>
  <c r="Y27" i="29"/>
  <c r="AC27" i="29"/>
  <c r="AG27" i="29"/>
  <c r="AK27" i="29"/>
  <c r="AO27" i="29"/>
  <c r="AS27" i="29"/>
  <c r="AW27" i="29"/>
  <c r="BA27" i="29"/>
  <c r="BE27" i="29"/>
  <c r="AX27" i="29"/>
  <c r="BF27" i="29"/>
  <c r="AP27" i="29"/>
  <c r="AT27" i="29"/>
  <c r="BB27" i="29"/>
  <c r="C27" i="29"/>
  <c r="G27" i="29"/>
  <c r="K27" i="29"/>
  <c r="O27" i="29"/>
  <c r="S27" i="29"/>
  <c r="W27" i="29"/>
  <c r="AA27" i="29"/>
  <c r="AE27" i="29"/>
  <c r="AI27" i="29"/>
  <c r="AM27" i="29"/>
  <c r="AQ27" i="29"/>
  <c r="AU27" i="29"/>
  <c r="AY27" i="29"/>
  <c r="BC27" i="29"/>
  <c r="BG27" i="29"/>
  <c r="AV27" i="29"/>
  <c r="J65" i="30"/>
  <c r="J69" i="30"/>
  <c r="J67" i="30"/>
  <c r="J66" i="30"/>
  <c r="J70" i="30"/>
  <c r="J62" i="30"/>
  <c r="BH35" i="29" l="1"/>
  <c r="BH41" i="29" s="1"/>
  <c r="N34" i="29"/>
  <c r="M35" i="29"/>
  <c r="N35" i="29"/>
  <c r="M34" i="29" l="1"/>
  <c r="M41" i="29" s="1"/>
  <c r="N41" i="29"/>
  <c r="L35" i="29"/>
  <c r="BH38" i="29" l="1"/>
  <c r="BH44" i="29" s="1"/>
  <c r="L34" i="29"/>
  <c r="L41" i="29" s="1"/>
  <c r="K35" i="29"/>
  <c r="F70" i="17"/>
  <c r="K34" i="29" l="1"/>
  <c r="K41" i="29" s="1"/>
  <c r="J71" i="17"/>
  <c r="BH36" i="29"/>
  <c r="BH42" i="29" s="1"/>
  <c r="J35" i="29"/>
  <c r="D38" i="29"/>
  <c r="H38" i="29"/>
  <c r="M38" i="29"/>
  <c r="M44" i="29" s="1"/>
  <c r="C38" i="29"/>
  <c r="H36" i="29"/>
  <c r="M36" i="29"/>
  <c r="M42" i="29" s="1"/>
  <c r="C36" i="29"/>
  <c r="H37" i="29"/>
  <c r="M37" i="29"/>
  <c r="M43" i="29" s="1"/>
  <c r="C37" i="29"/>
  <c r="L38" i="29"/>
  <c r="L44" i="29" s="1"/>
  <c r="F38" i="29"/>
  <c r="G38" i="29"/>
  <c r="L36" i="29"/>
  <c r="L42" i="29" s="1"/>
  <c r="F36" i="29"/>
  <c r="G36" i="29"/>
  <c r="L37" i="29"/>
  <c r="L43" i="29" s="1"/>
  <c r="F37" i="29"/>
  <c r="G37" i="29"/>
  <c r="E38" i="29"/>
  <c r="J38" i="29"/>
  <c r="K38" i="29"/>
  <c r="E36" i="29"/>
  <c r="J36" i="29"/>
  <c r="K36" i="29"/>
  <c r="E37" i="29"/>
  <c r="J37" i="29"/>
  <c r="K37" i="29"/>
  <c r="I38" i="29"/>
  <c r="N38" i="29"/>
  <c r="N44" i="29" s="1"/>
  <c r="D36" i="29"/>
  <c r="I36" i="29"/>
  <c r="N36" i="29"/>
  <c r="N42" i="29" s="1"/>
  <c r="D37" i="29"/>
  <c r="I37" i="29"/>
  <c r="N37" i="29"/>
  <c r="N43" i="29" s="1"/>
  <c r="AD37" i="29"/>
  <c r="I70" i="17"/>
  <c r="K43" i="29" l="1"/>
  <c r="K44" i="29"/>
  <c r="K42" i="29"/>
  <c r="J34" i="29"/>
  <c r="J42" i="29" s="1"/>
  <c r="I35" i="29"/>
  <c r="F69" i="17"/>
  <c r="J70" i="17" s="1"/>
  <c r="J43" i="29" l="1"/>
  <c r="J44" i="29"/>
  <c r="I34" i="29"/>
  <c r="I41" i="29" s="1"/>
  <c r="J41" i="29"/>
  <c r="H35" i="29"/>
  <c r="BH17" i="29" l="1"/>
  <c r="BH18" i="29" s="1"/>
  <c r="BH22" i="29" s="1"/>
  <c r="H34" i="29"/>
  <c r="I42" i="29"/>
  <c r="I43" i="29"/>
  <c r="I44" i="29"/>
  <c r="G35" i="29"/>
  <c r="BG36" i="29"/>
  <c r="BG35" i="29"/>
  <c r="BG37" i="29"/>
  <c r="BG38" i="29"/>
  <c r="BG34" i="29"/>
  <c r="BG17" i="29" l="1"/>
  <c r="BG18" i="29" s="1"/>
  <c r="BG22" i="29" s="1"/>
  <c r="G34" i="29"/>
  <c r="G41" i="29" s="1"/>
  <c r="H42" i="29"/>
  <c r="H44" i="29"/>
  <c r="H43" i="29"/>
  <c r="H41" i="29"/>
  <c r="BG44" i="29"/>
  <c r="F35" i="29"/>
  <c r="BG41" i="29"/>
  <c r="BG42" i="29"/>
  <c r="BG43" i="29"/>
  <c r="J35" i="17"/>
  <c r="F68" i="17"/>
  <c r="F67" i="17"/>
  <c r="F66" i="17"/>
  <c r="F65" i="17"/>
  <c r="F34" i="29" l="1"/>
  <c r="F41" i="29" s="1"/>
  <c r="G44" i="29"/>
  <c r="G43" i="29"/>
  <c r="G42" i="29"/>
  <c r="E35" i="29"/>
  <c r="J68" i="17"/>
  <c r="J66" i="17"/>
  <c r="J67" i="17"/>
  <c r="J69" i="17"/>
  <c r="I65" i="17"/>
  <c r="I66" i="17"/>
  <c r="I67" i="17"/>
  <c r="I68" i="17"/>
  <c r="I69" i="17"/>
  <c r="J11" i="17"/>
  <c r="J12" i="17"/>
  <c r="J13" i="17"/>
  <c r="J14" i="17"/>
  <c r="J15" i="17"/>
  <c r="J16" i="17"/>
  <c r="J17" i="17"/>
  <c r="J18" i="17"/>
  <c r="J19" i="17"/>
  <c r="J10" i="17"/>
  <c r="I11" i="17"/>
  <c r="I12" i="17"/>
  <c r="I13" i="17"/>
  <c r="I14" i="17"/>
  <c r="I15" i="17"/>
  <c r="I16" i="17"/>
  <c r="I17" i="17"/>
  <c r="I18" i="17"/>
  <c r="I19" i="17"/>
  <c r="I10" i="17"/>
  <c r="E34" i="29" l="1"/>
  <c r="E41" i="29" s="1"/>
  <c r="F42" i="29"/>
  <c r="F44" i="29"/>
  <c r="F43" i="29"/>
  <c r="C35" i="29"/>
  <c r="D35" i="29"/>
  <c r="C34" i="29" l="1"/>
  <c r="E43" i="29"/>
  <c r="E42" i="29"/>
  <c r="E44" i="29"/>
  <c r="D34" i="29"/>
  <c r="D41" i="29" s="1"/>
  <c r="BF37" i="29"/>
  <c r="BF36" i="29"/>
  <c r="BF35" i="29"/>
  <c r="BF38" i="29"/>
  <c r="BF34" i="29"/>
  <c r="BF17" i="29" l="1"/>
  <c r="BF18" i="29" s="1"/>
  <c r="BF22" i="29" s="1"/>
  <c r="C42" i="29"/>
  <c r="C43" i="29"/>
  <c r="C44" i="29"/>
  <c r="D44" i="29"/>
  <c r="D42" i="29"/>
  <c r="D43" i="29"/>
  <c r="C41" i="29"/>
  <c r="BF44" i="29"/>
  <c r="BF42" i="29"/>
  <c r="BF41" i="29"/>
  <c r="BF43" i="29"/>
  <c r="BE36" i="29"/>
  <c r="BE37" i="29"/>
  <c r="BE38" i="29"/>
  <c r="BE35" i="29"/>
  <c r="BE34" i="29"/>
  <c r="BE41" i="29" l="1"/>
  <c r="BE43" i="29"/>
  <c r="BE42" i="29"/>
  <c r="BE44" i="29"/>
  <c r="BD17" i="29" l="1"/>
  <c r="BD18" i="29" s="1"/>
  <c r="BD22" i="29" s="1"/>
  <c r="BB17" i="29"/>
  <c r="BB18" i="29" s="1"/>
  <c r="BB22" i="29" s="1"/>
  <c r="BC17" i="29"/>
  <c r="BC18" i="29" s="1"/>
  <c r="BC22" i="29" s="1"/>
  <c r="BE17" i="29"/>
  <c r="BE18" i="29" s="1"/>
  <c r="BE22" i="29" s="1"/>
  <c r="BC38" i="29" l="1"/>
  <c r="BC34" i="29"/>
  <c r="BD38" i="29"/>
  <c r="BD35" i="29"/>
  <c r="BD36" i="29"/>
  <c r="BC37" i="29"/>
  <c r="BC43" i="29" s="1"/>
  <c r="BD37" i="29"/>
  <c r="BC36" i="29"/>
  <c r="BC42" i="29" s="1"/>
  <c r="BC35" i="29"/>
  <c r="BD34" i="29"/>
  <c r="BC44" i="29" l="1"/>
  <c r="BC41" i="29"/>
  <c r="BD43" i="29"/>
  <c r="BD42" i="29"/>
  <c r="BD44" i="29"/>
  <c r="BD41" i="29"/>
  <c r="O34" i="29" l="1"/>
  <c r="Q34" i="29"/>
  <c r="R35" i="29" l="1"/>
  <c r="R36" i="29"/>
  <c r="R37" i="29"/>
  <c r="Q38" i="29"/>
  <c r="Q44" i="29" s="1"/>
  <c r="AO37" i="29" l="1"/>
  <c r="Z36" i="29"/>
  <c r="AO36" i="29"/>
  <c r="AO35" i="29"/>
  <c r="AN37" i="29"/>
  <c r="AK36" i="29"/>
  <c r="AR35" i="29"/>
  <c r="AR34" i="29"/>
  <c r="AB35" i="29"/>
  <c r="T37" i="29"/>
  <c r="P36" i="29"/>
  <c r="AF36" i="29"/>
  <c r="W37" i="29"/>
  <c r="W36" i="29"/>
  <c r="Z37" i="29"/>
  <c r="AS37" i="29"/>
  <c r="AD36" i="29"/>
  <c r="AS36" i="29"/>
  <c r="AW35" i="29"/>
  <c r="AC37" i="29"/>
  <c r="AR37" i="29"/>
  <c r="Y36" i="29"/>
  <c r="AN36" i="29"/>
  <c r="Y38" i="29"/>
  <c r="AN38" i="29"/>
  <c r="Q35" i="29"/>
  <c r="Q41" i="29" s="1"/>
  <c r="AG35" i="29"/>
  <c r="AV35" i="29"/>
  <c r="AG34" i="29"/>
  <c r="AV34" i="29"/>
  <c r="AJ35" i="29"/>
  <c r="X37" i="29"/>
  <c r="AM37" i="29"/>
  <c r="T36" i="29"/>
  <c r="AJ36" i="29"/>
  <c r="P35" i="29"/>
  <c r="AU35" i="29"/>
  <c r="AA37" i="29"/>
  <c r="AT37" i="29"/>
  <c r="AA36" i="29"/>
  <c r="AT36" i="29"/>
  <c r="AA38" i="29"/>
  <c r="AT38" i="29"/>
  <c r="AA35" i="29"/>
  <c r="AT35" i="29"/>
  <c r="AE34" i="29"/>
  <c r="AW36" i="29"/>
  <c r="AS35" i="29"/>
  <c r="AM38" i="29"/>
  <c r="AF34" i="29"/>
  <c r="AD38" i="29"/>
  <c r="V34" i="29"/>
  <c r="T38" i="29"/>
  <c r="AQ34" i="29"/>
  <c r="AO38" i="29"/>
  <c r="AH34" i="29"/>
  <c r="AH37" i="29"/>
  <c r="Q37" i="29"/>
  <c r="Q43" i="29" s="1"/>
  <c r="AC36" i="29"/>
  <c r="AC38" i="29"/>
  <c r="U35" i="29"/>
  <c r="U34" i="29"/>
  <c r="AU36" i="29"/>
  <c r="AQ35" i="29"/>
  <c r="AQ41" i="29" s="1"/>
  <c r="AQ37" i="29"/>
  <c r="AM36" i="29"/>
  <c r="X35" i="29"/>
  <c r="AE37" i="29"/>
  <c r="AE43" i="29" s="1"/>
  <c r="O38" i="29"/>
  <c r="O44" i="29" s="1"/>
  <c r="O35" i="29"/>
  <c r="O41" i="29" s="1"/>
  <c r="AE35" i="29"/>
  <c r="AE41" i="29" s="1"/>
  <c r="S34" i="29"/>
  <c r="AI34" i="29"/>
  <c r="V35" i="29"/>
  <c r="P38" i="29"/>
  <c r="AU38" i="29"/>
  <c r="AM34" i="29"/>
  <c r="AM44" i="29" s="1"/>
  <c r="AL38" i="29"/>
  <c r="AD34" i="29"/>
  <c r="AD43" i="29" s="1"/>
  <c r="AB38" i="29"/>
  <c r="T34" i="29"/>
  <c r="R38" i="29"/>
  <c r="AW38" i="29"/>
  <c r="AO34" i="29"/>
  <c r="AW37" i="29"/>
  <c r="AH36" i="29"/>
  <c r="Z35" i="29"/>
  <c r="AG37" i="29"/>
  <c r="AV37" i="29"/>
  <c r="AV43" i="29" s="1"/>
  <c r="AR36" i="29"/>
  <c r="AR38" i="29"/>
  <c r="AK35" i="29"/>
  <c r="AK34" i="29"/>
  <c r="AB37" i="29"/>
  <c r="X36" i="29"/>
  <c r="O37" i="29"/>
  <c r="O43" i="29" s="1"/>
  <c r="O36" i="29"/>
  <c r="O42" i="29" s="1"/>
  <c r="AE36" i="29"/>
  <c r="AE42" i="29" s="1"/>
  <c r="AE38" i="29"/>
  <c r="AL37" i="29"/>
  <c r="V36" i="29"/>
  <c r="AL36" i="29"/>
  <c r="AH35" i="29"/>
  <c r="U37" i="29"/>
  <c r="U43" i="29" s="1"/>
  <c r="AK37" i="29"/>
  <c r="AK43" i="29" s="1"/>
  <c r="Q36" i="29"/>
  <c r="Q42" i="29" s="1"/>
  <c r="AG36" i="29"/>
  <c r="AG42" i="29" s="1"/>
  <c r="AV36" i="29"/>
  <c r="AV42" i="29" s="1"/>
  <c r="AG38" i="29"/>
  <c r="AG44" i="29" s="1"/>
  <c r="AV38" i="29"/>
  <c r="AV44" i="29" s="1"/>
  <c r="Y35" i="29"/>
  <c r="AN35" i="29"/>
  <c r="Y34" i="29"/>
  <c r="AN34" i="29"/>
  <c r="T35" i="29"/>
  <c r="T41" i="29" s="1"/>
  <c r="P37" i="29"/>
  <c r="AF37" i="29"/>
  <c r="AF43" i="29" s="1"/>
  <c r="AU37" i="29"/>
  <c r="AB36" i="29"/>
  <c r="AQ36" i="29"/>
  <c r="AQ42" i="29" s="1"/>
  <c r="AF35" i="29"/>
  <c r="AF41" i="29" s="1"/>
  <c r="S37" i="29"/>
  <c r="AI37" i="29"/>
  <c r="AI43" i="29" s="1"/>
  <c r="S36" i="29"/>
  <c r="S42" i="29" s="1"/>
  <c r="AI36" i="29"/>
  <c r="AI42" i="29" s="1"/>
  <c r="S38" i="29"/>
  <c r="AI38" i="29"/>
  <c r="S35" i="29"/>
  <c r="S41" i="29" s="1"/>
  <c r="AI35" i="29"/>
  <c r="AI41" i="29" s="1"/>
  <c r="W34" i="29"/>
  <c r="AP34" i="29"/>
  <c r="AD35" i="29"/>
  <c r="X38" i="29"/>
  <c r="P34" i="29"/>
  <c r="AU34" i="29"/>
  <c r="AS38" i="29"/>
  <c r="AL34" i="29"/>
  <c r="AJ38" i="29"/>
  <c r="AB34" i="29"/>
  <c r="Z38" i="29"/>
  <c r="R34" i="29"/>
  <c r="R42" i="29" s="1"/>
  <c r="AW34" i="29"/>
  <c r="V37" i="29"/>
  <c r="Y37" i="29"/>
  <c r="U36" i="29"/>
  <c r="U42" i="29" s="1"/>
  <c r="U38" i="29"/>
  <c r="U44" i="29" s="1"/>
  <c r="AK38" i="29"/>
  <c r="AK44" i="29" s="1"/>
  <c r="AC35" i="29"/>
  <c r="AC34" i="29"/>
  <c r="AJ37" i="29"/>
  <c r="AM35" i="29"/>
  <c r="AM41" i="29" s="1"/>
  <c r="AP37" i="29"/>
  <c r="AP36" i="29"/>
  <c r="W38" i="29"/>
  <c r="AP38" i="29"/>
  <c r="W35" i="29"/>
  <c r="W41" i="29" s="1"/>
  <c r="AP35" i="29"/>
  <c r="AA34" i="29"/>
  <c r="AA44" i="29" s="1"/>
  <c r="AT34" i="29"/>
  <c r="AL35" i="29"/>
  <c r="AF38" i="29"/>
  <c r="AF44" i="29" s="1"/>
  <c r="X34" i="29"/>
  <c r="V38" i="29"/>
  <c r="AS34" i="29"/>
  <c r="AQ38" i="29"/>
  <c r="AJ34" i="29"/>
  <c r="AH38" i="29"/>
  <c r="Z34" i="29"/>
  <c r="I64" i="17"/>
  <c r="AH44" i="29" l="1"/>
  <c r="V44" i="29"/>
  <c r="V43" i="29"/>
  <c r="AU44" i="29"/>
  <c r="AH41" i="29"/>
  <c r="AR44" i="29"/>
  <c r="S43" i="29"/>
  <c r="AR42" i="29"/>
  <c r="AH42" i="29"/>
  <c r="V41" i="29"/>
  <c r="V42" i="29"/>
  <c r="AQ43" i="29"/>
  <c r="AH43" i="29"/>
  <c r="AR43" i="29"/>
  <c r="AL41" i="29"/>
  <c r="AP43" i="29"/>
  <c r="Y43" i="29"/>
  <c r="AD41" i="29"/>
  <c r="AG43" i="29"/>
  <c r="AK41" i="29"/>
  <c r="AP41" i="29"/>
  <c r="AP44" i="29"/>
  <c r="AP42" i="29"/>
  <c r="R41" i="29"/>
  <c r="AQ44" i="29"/>
  <c r="AS41" i="29"/>
  <c r="AE44" i="29"/>
  <c r="AA41" i="29"/>
  <c r="AA42" i="29"/>
  <c r="AA43" i="29"/>
  <c r="P41" i="29"/>
  <c r="T42" i="29"/>
  <c r="X43" i="29"/>
  <c r="AV41" i="29"/>
  <c r="Y44" i="29"/>
  <c r="Y42" i="29"/>
  <c r="AC43" i="29"/>
  <c r="AS42" i="29"/>
  <c r="AS43" i="29"/>
  <c r="W42" i="29"/>
  <c r="AF42" i="29"/>
  <c r="T43" i="29"/>
  <c r="AK42" i="29"/>
  <c r="AO41" i="29"/>
  <c r="Z42" i="29"/>
  <c r="AJ43" i="29"/>
  <c r="AC41" i="29"/>
  <c r="X44" i="29"/>
  <c r="AB42" i="29"/>
  <c r="Y41" i="29"/>
  <c r="X42" i="29"/>
  <c r="Z41" i="29"/>
  <c r="AW43" i="29"/>
  <c r="AW44" i="29"/>
  <c r="P44" i="29"/>
  <c r="AI44" i="29"/>
  <c r="X41" i="29"/>
  <c r="AU42" i="29"/>
  <c r="U41" i="29"/>
  <c r="AC42" i="29"/>
  <c r="BB34" i="29"/>
  <c r="R43" i="29"/>
  <c r="AO44" i="29"/>
  <c r="T44" i="29"/>
  <c r="AD44" i="29"/>
  <c r="AW42" i="29"/>
  <c r="AT41" i="29"/>
  <c r="AT44" i="29"/>
  <c r="AT42" i="29"/>
  <c r="AT43" i="29"/>
  <c r="AU41" i="29"/>
  <c r="AJ42" i="29"/>
  <c r="AM43" i="29"/>
  <c r="AJ41" i="29"/>
  <c r="AG41" i="29"/>
  <c r="AN44" i="29"/>
  <c r="AN42" i="29"/>
  <c r="AW41" i="29"/>
  <c r="AD42" i="29"/>
  <c r="Z43" i="29"/>
  <c r="W43" i="29"/>
  <c r="P42" i="29"/>
  <c r="AB41" i="29"/>
  <c r="AR41" i="29"/>
  <c r="AN43" i="29"/>
  <c r="AO42" i="29"/>
  <c r="AO43" i="29"/>
  <c r="BB35" i="29"/>
  <c r="Z44" i="29"/>
  <c r="AJ44" i="29"/>
  <c r="AS44" i="29"/>
  <c r="W44" i="29"/>
  <c r="AU43" i="29"/>
  <c r="P43" i="29"/>
  <c r="AN41" i="29"/>
  <c r="AL42" i="29"/>
  <c r="AL43" i="29"/>
  <c r="AB43" i="29"/>
  <c r="R44" i="29"/>
  <c r="AB44" i="29"/>
  <c r="AL44" i="29"/>
  <c r="S44" i="29"/>
  <c r="AM42" i="29"/>
  <c r="AC44" i="29"/>
  <c r="J48" i="17"/>
  <c r="J46" i="17"/>
  <c r="J36" i="17"/>
  <c r="J33" i="17"/>
  <c r="J23" i="17"/>
  <c r="I61" i="17"/>
  <c r="I49" i="17"/>
  <c r="I48" i="17"/>
  <c r="I46" i="17"/>
  <c r="I36" i="17"/>
  <c r="I37" i="17"/>
  <c r="I38" i="17"/>
  <c r="I39" i="17"/>
  <c r="I40" i="17"/>
  <c r="I41" i="17"/>
  <c r="I42" i="17"/>
  <c r="I43" i="17"/>
  <c r="I44" i="17"/>
  <c r="I45" i="17"/>
  <c r="I50" i="17"/>
  <c r="I51" i="17"/>
  <c r="I52" i="17"/>
  <c r="I53" i="17"/>
  <c r="I54" i="17"/>
  <c r="I55" i="17"/>
  <c r="I56" i="17"/>
  <c r="I57" i="17"/>
  <c r="I58" i="17"/>
  <c r="I59" i="17"/>
  <c r="I62" i="17"/>
  <c r="I63" i="17"/>
  <c r="I35" i="17"/>
  <c r="J24" i="17"/>
  <c r="J25" i="17"/>
  <c r="J26" i="17"/>
  <c r="J27" i="17"/>
  <c r="J28" i="17"/>
  <c r="J29" i="17"/>
  <c r="J30" i="17"/>
  <c r="J31" i="17"/>
  <c r="J32" i="17"/>
  <c r="J37" i="17"/>
  <c r="J38" i="17"/>
  <c r="J39" i="17"/>
  <c r="J40" i="17"/>
  <c r="J41" i="17"/>
  <c r="J42" i="17"/>
  <c r="J43" i="17"/>
  <c r="J44" i="17"/>
  <c r="J45" i="17"/>
  <c r="J49" i="17"/>
  <c r="J50" i="17"/>
  <c r="J51" i="17"/>
  <c r="J52" i="17"/>
  <c r="J53" i="17"/>
  <c r="J54" i="17"/>
  <c r="J55" i="17"/>
  <c r="J56" i="17"/>
  <c r="J57" i="17"/>
  <c r="J58" i="17"/>
  <c r="I24" i="17"/>
  <c r="I25" i="17"/>
  <c r="I26" i="17"/>
  <c r="I27" i="17"/>
  <c r="I28" i="17"/>
  <c r="I29" i="17"/>
  <c r="I30" i="17"/>
  <c r="I31" i="17"/>
  <c r="I32" i="17"/>
  <c r="F64" i="17"/>
  <c r="F61" i="17"/>
  <c r="BB41" i="29" l="1"/>
  <c r="J65" i="17"/>
  <c r="BB37" i="29" l="1"/>
  <c r="BB43" i="29" s="1"/>
  <c r="BA35" i="29" l="1"/>
  <c r="F63" i="17" l="1"/>
  <c r="J64" i="17" s="1"/>
  <c r="BA37" i="29" l="1"/>
  <c r="BA34" i="29"/>
  <c r="BA41" i="29" s="1"/>
  <c r="P10" i="23"/>
  <c r="O10" i="23"/>
  <c r="N10" i="23"/>
  <c r="M10" i="23"/>
  <c r="L10" i="23"/>
  <c r="P9" i="23"/>
  <c r="O9" i="23"/>
  <c r="N9" i="23"/>
  <c r="M9" i="23"/>
  <c r="L9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P2" i="23"/>
  <c r="O2" i="23"/>
  <c r="N2" i="23"/>
  <c r="M2" i="23"/>
  <c r="L2" i="23"/>
  <c r="K2" i="23"/>
  <c r="J2" i="23"/>
  <c r="I2" i="23"/>
  <c r="H2" i="23"/>
  <c r="G2" i="23"/>
  <c r="F2" i="23"/>
  <c r="E2" i="23"/>
  <c r="D2" i="23"/>
  <c r="C2" i="23"/>
  <c r="B2" i="23"/>
  <c r="BA43" i="29" l="1"/>
  <c r="I4" i="23"/>
  <c r="I15" i="23" s="1"/>
  <c r="C4" i="23"/>
  <c r="C17" i="23" s="1"/>
  <c r="G4" i="23"/>
  <c r="G17" i="23" s="1"/>
  <c r="O4" i="23"/>
  <c r="O19" i="23" s="1"/>
  <c r="E4" i="23"/>
  <c r="E17" i="23" s="1"/>
  <c r="K4" i="23"/>
  <c r="K17" i="23" s="1"/>
  <c r="M4" i="23"/>
  <c r="M17" i="23" s="1"/>
  <c r="B4" i="23"/>
  <c r="B15" i="23" s="1"/>
  <c r="F4" i="23"/>
  <c r="F15" i="23" s="1"/>
  <c r="J4" i="23"/>
  <c r="J17" i="23" s="1"/>
  <c r="N4" i="23"/>
  <c r="I13" i="23"/>
  <c r="C15" i="23"/>
  <c r="D4" i="23"/>
  <c r="D15" i="23" s="1"/>
  <c r="H4" i="23"/>
  <c r="L4" i="23"/>
  <c r="L13" i="23" s="1"/>
  <c r="P4" i="23"/>
  <c r="P20" i="23" s="1"/>
  <c r="I16" i="23" l="1"/>
  <c r="O17" i="23"/>
  <c r="I17" i="23"/>
  <c r="I18" i="23"/>
  <c r="O18" i="23"/>
  <c r="O16" i="23"/>
  <c r="K13" i="23"/>
  <c r="C13" i="23"/>
  <c r="K18" i="23"/>
  <c r="G13" i="23"/>
  <c r="G15" i="23"/>
  <c r="G18" i="23"/>
  <c r="G16" i="23"/>
  <c r="C18" i="23"/>
  <c r="C16" i="23"/>
  <c r="M19" i="23"/>
  <c r="M13" i="23"/>
  <c r="M15" i="23"/>
  <c r="E16" i="23"/>
  <c r="O20" i="23"/>
  <c r="O13" i="23"/>
  <c r="K15" i="23"/>
  <c r="O15" i="23"/>
  <c r="E13" i="23"/>
  <c r="M20" i="23"/>
  <c r="P15" i="23"/>
  <c r="B17" i="23"/>
  <c r="E15" i="23"/>
  <c r="B23" i="23" s="1"/>
  <c r="M16" i="23"/>
  <c r="M18" i="23"/>
  <c r="K16" i="23"/>
  <c r="P19" i="23"/>
  <c r="P18" i="23"/>
  <c r="P13" i="23"/>
  <c r="E18" i="23"/>
  <c r="P16" i="23"/>
  <c r="L18" i="23"/>
  <c r="L16" i="23"/>
  <c r="L20" i="23"/>
  <c r="N20" i="23"/>
  <c r="N13" i="23"/>
  <c r="N18" i="23"/>
  <c r="N16" i="23"/>
  <c r="L19" i="23"/>
  <c r="D17" i="23"/>
  <c r="H18" i="23"/>
  <c r="H16" i="23"/>
  <c r="H13" i="23"/>
  <c r="J16" i="23"/>
  <c r="J18" i="23"/>
  <c r="J13" i="23"/>
  <c r="P17" i="23"/>
  <c r="N17" i="23"/>
  <c r="D18" i="23"/>
  <c r="D13" i="23"/>
  <c r="D16" i="23"/>
  <c r="F13" i="23"/>
  <c r="F18" i="23"/>
  <c r="F16" i="23"/>
  <c r="L17" i="23"/>
  <c r="N15" i="23"/>
  <c r="L15" i="23"/>
  <c r="B16" i="23"/>
  <c r="B18" i="23"/>
  <c r="B13" i="23"/>
  <c r="H17" i="23"/>
  <c r="J15" i="23"/>
  <c r="N19" i="23"/>
  <c r="F17" i="23"/>
  <c r="B25" i="23" s="1"/>
  <c r="H15" i="23"/>
  <c r="D26" i="23" l="1"/>
  <c r="C25" i="23"/>
  <c r="D25" i="23"/>
  <c r="C26" i="23"/>
  <c r="D28" i="23"/>
  <c r="D27" i="23"/>
  <c r="D23" i="23"/>
  <c r="D24" i="23"/>
  <c r="B24" i="23"/>
  <c r="C23" i="23"/>
  <c r="B26" i="23"/>
  <c r="C24" i="23"/>
  <c r="Z48" i="22" l="1"/>
  <c r="Y48" i="22"/>
  <c r="X48" i="22"/>
  <c r="W48" i="22"/>
  <c r="V48" i="22"/>
  <c r="U48" i="22"/>
  <c r="T48" i="22"/>
  <c r="S48" i="22"/>
  <c r="R48" i="22"/>
  <c r="Q48" i="22"/>
  <c r="P48" i="22"/>
  <c r="O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Y43" i="22"/>
  <c r="X43" i="22"/>
  <c r="W43" i="22"/>
  <c r="V43" i="22"/>
  <c r="U43" i="22"/>
  <c r="S43" i="22"/>
  <c r="R43" i="22"/>
  <c r="Q43" i="22"/>
  <c r="P43" i="22"/>
  <c r="O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Z41" i="22"/>
  <c r="X41" i="22"/>
  <c r="W41" i="22"/>
  <c r="V41" i="22"/>
  <c r="U41" i="22"/>
  <c r="T41" i="22"/>
  <c r="S41" i="22"/>
  <c r="R41" i="22"/>
  <c r="Q41" i="22"/>
  <c r="P41" i="22"/>
  <c r="O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X38" i="22"/>
  <c r="W38" i="22"/>
  <c r="V38" i="22"/>
  <c r="U38" i="22"/>
  <c r="T38" i="22"/>
  <c r="S38" i="22"/>
  <c r="R38" i="22"/>
  <c r="Q38" i="22"/>
  <c r="P38" i="22"/>
  <c r="O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Z32" i="22"/>
  <c r="X32" i="22"/>
  <c r="V32" i="22"/>
  <c r="U32" i="22"/>
  <c r="S32" i="22"/>
  <c r="R32" i="22"/>
  <c r="P32" i="22"/>
  <c r="O32" i="22"/>
  <c r="M32" i="22"/>
  <c r="K32" i="22"/>
  <c r="H32" i="22"/>
  <c r="G32" i="22"/>
  <c r="E32" i="22"/>
  <c r="D32" i="22"/>
  <c r="C32" i="22"/>
  <c r="B32" i="22"/>
  <c r="Z31" i="22"/>
  <c r="X31" i="22"/>
  <c r="W31" i="22"/>
  <c r="V31" i="22"/>
  <c r="U31" i="22"/>
  <c r="O31" i="22"/>
  <c r="K31" i="22"/>
  <c r="J31" i="22"/>
  <c r="H31" i="22"/>
  <c r="G31" i="22"/>
  <c r="F31" i="22"/>
  <c r="E31" i="22"/>
  <c r="D31" i="22"/>
  <c r="C31" i="22"/>
  <c r="B31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Z29" i="22"/>
  <c r="X29" i="22"/>
  <c r="W29" i="22"/>
  <c r="V29" i="22"/>
  <c r="U29" i="22"/>
  <c r="T29" i="22"/>
  <c r="R29" i="22"/>
  <c r="P29" i="22"/>
  <c r="O29" i="22"/>
  <c r="H29" i="22"/>
  <c r="E29" i="22"/>
  <c r="D29" i="22"/>
  <c r="C29" i="22"/>
  <c r="B29" i="22"/>
  <c r="X28" i="22"/>
  <c r="W28" i="22"/>
  <c r="H28" i="22"/>
  <c r="E28" i="22"/>
  <c r="D28" i="22"/>
  <c r="C28" i="22"/>
  <c r="B28" i="22"/>
  <c r="Z27" i="22"/>
  <c r="Y27" i="22"/>
  <c r="X27" i="22"/>
  <c r="W27" i="22"/>
  <c r="V27" i="22"/>
  <c r="P27" i="22"/>
  <c r="L27" i="22"/>
  <c r="H27" i="22"/>
  <c r="E27" i="22"/>
  <c r="D27" i="22"/>
  <c r="C27" i="22"/>
  <c r="B27" i="22"/>
  <c r="Y26" i="22"/>
  <c r="X26" i="22"/>
  <c r="U26" i="22"/>
  <c r="T26" i="22"/>
  <c r="S26" i="22"/>
  <c r="Q26" i="22"/>
  <c r="K26" i="22"/>
  <c r="H26" i="22"/>
  <c r="F26" i="22"/>
  <c r="E26" i="22"/>
  <c r="D26" i="22"/>
  <c r="C26" i="22"/>
  <c r="B26" i="22"/>
  <c r="X25" i="22"/>
  <c r="V25" i="22"/>
  <c r="R25" i="22"/>
  <c r="H25" i="22"/>
  <c r="E25" i="22"/>
  <c r="D25" i="22"/>
  <c r="C25" i="22"/>
  <c r="B25" i="22"/>
  <c r="Z24" i="22"/>
  <c r="Y24" i="22"/>
  <c r="X24" i="22"/>
  <c r="W24" i="22"/>
  <c r="V24" i="22"/>
  <c r="U24" i="22"/>
  <c r="T24" i="22"/>
  <c r="S24" i="22"/>
  <c r="R24" i="22"/>
  <c r="P24" i="22"/>
  <c r="O24" i="22"/>
  <c r="M24" i="22"/>
  <c r="L24" i="22"/>
  <c r="K24" i="22"/>
  <c r="J24" i="22"/>
  <c r="I24" i="22"/>
  <c r="H24" i="22"/>
  <c r="E24" i="22"/>
  <c r="D24" i="22"/>
  <c r="C24" i="22"/>
  <c r="B24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Z21" i="22"/>
  <c r="X21" i="22"/>
  <c r="V21" i="22"/>
  <c r="U21" i="22"/>
  <c r="T21" i="22"/>
  <c r="R21" i="22"/>
  <c r="Q21" i="22"/>
  <c r="O21" i="22"/>
  <c r="M21" i="22"/>
  <c r="L21" i="22"/>
  <c r="H21" i="22"/>
  <c r="G21" i="22"/>
  <c r="F21" i="22"/>
  <c r="E21" i="22"/>
  <c r="D21" i="22"/>
  <c r="C21" i="22"/>
  <c r="B21" i="22"/>
  <c r="Z20" i="22"/>
  <c r="Y20" i="22"/>
  <c r="X20" i="22"/>
  <c r="V20" i="22"/>
  <c r="U20" i="22"/>
  <c r="T20" i="22"/>
  <c r="R20" i="22"/>
  <c r="O20" i="22"/>
  <c r="M20" i="22"/>
  <c r="J20" i="22"/>
  <c r="H20" i="22"/>
  <c r="G20" i="22"/>
  <c r="F20" i="22"/>
  <c r="E20" i="22"/>
  <c r="D20" i="22"/>
  <c r="C20" i="22"/>
  <c r="B20" i="22"/>
  <c r="Z19" i="22"/>
  <c r="Y19" i="22"/>
  <c r="X19" i="22"/>
  <c r="W19" i="22"/>
  <c r="V19" i="22"/>
  <c r="U19" i="22"/>
  <c r="S19" i="22"/>
  <c r="R19" i="22"/>
  <c r="Q19" i="22"/>
  <c r="P19" i="22"/>
  <c r="L19" i="22"/>
  <c r="K19" i="22"/>
  <c r="J19" i="22"/>
  <c r="I19" i="22"/>
  <c r="H19" i="22"/>
  <c r="G19" i="22"/>
  <c r="F19" i="22"/>
  <c r="E19" i="22"/>
  <c r="D19" i="22"/>
  <c r="C19" i="22"/>
  <c r="B19" i="22"/>
  <c r="Y18" i="22"/>
  <c r="W18" i="22"/>
  <c r="V18" i="22"/>
  <c r="U18" i="22"/>
  <c r="T18" i="22"/>
  <c r="S18" i="22"/>
  <c r="R18" i="22"/>
  <c r="O18" i="22"/>
  <c r="M18" i="22"/>
  <c r="K18" i="22"/>
  <c r="J18" i="22"/>
  <c r="H18" i="22"/>
  <c r="F18" i="22"/>
  <c r="E18" i="22"/>
  <c r="D18" i="22"/>
  <c r="C18" i="22"/>
  <c r="B18" i="22"/>
  <c r="Z17" i="22"/>
  <c r="Y17" i="22"/>
  <c r="X17" i="22"/>
  <c r="W17" i="22"/>
  <c r="V17" i="22"/>
  <c r="U17" i="22"/>
  <c r="R17" i="22"/>
  <c r="Q17" i="22"/>
  <c r="P17" i="22"/>
  <c r="M17" i="22"/>
  <c r="K17" i="22"/>
  <c r="I17" i="22"/>
  <c r="H17" i="22"/>
  <c r="F17" i="22"/>
  <c r="E17" i="22"/>
  <c r="D17" i="22"/>
  <c r="C17" i="22"/>
  <c r="B17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Z15" i="22"/>
  <c r="Y15" i="22"/>
  <c r="X15" i="22"/>
  <c r="W15" i="22"/>
  <c r="U15" i="22"/>
  <c r="T15" i="22"/>
  <c r="S15" i="22"/>
  <c r="R15" i="22"/>
  <c r="Q15" i="22"/>
  <c r="P15" i="22"/>
  <c r="O15" i="22"/>
  <c r="M15" i="22"/>
  <c r="L15" i="22"/>
  <c r="J15" i="22"/>
  <c r="I15" i="22"/>
  <c r="H15" i="22"/>
  <c r="G15" i="22"/>
  <c r="F15" i="22"/>
  <c r="E15" i="22"/>
  <c r="D15" i="22"/>
  <c r="C15" i="22"/>
  <c r="B15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M13" i="22"/>
  <c r="L13" i="22"/>
  <c r="K13" i="22"/>
  <c r="J13" i="22"/>
  <c r="I13" i="22"/>
  <c r="H13" i="22"/>
  <c r="G13" i="22"/>
  <c r="E13" i="22"/>
  <c r="D13" i="22"/>
  <c r="C13" i="22"/>
  <c r="B13" i="22"/>
  <c r="X12" i="22"/>
  <c r="AA12" i="22" s="1"/>
  <c r="R12" i="21" s="1"/>
  <c r="I12" i="22"/>
  <c r="H12" i="22"/>
  <c r="F12" i="22"/>
  <c r="E12" i="22"/>
  <c r="D12" i="22"/>
  <c r="C12" i="22"/>
  <c r="B12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Z9" i="22"/>
  <c r="Y9" i="22"/>
  <c r="X9" i="22"/>
  <c r="W9" i="22"/>
  <c r="V9" i="22"/>
  <c r="U9" i="22"/>
  <c r="S9" i="22"/>
  <c r="Q9" i="22"/>
  <c r="O9" i="22"/>
  <c r="M9" i="22"/>
  <c r="L9" i="22"/>
  <c r="K9" i="22"/>
  <c r="I9" i="22"/>
  <c r="H9" i="22"/>
  <c r="F9" i="22"/>
  <c r="E9" i="22"/>
  <c r="D9" i="22"/>
  <c r="C9" i="22"/>
  <c r="B9" i="22"/>
  <c r="X8" i="22"/>
  <c r="AA8" i="22" s="1"/>
  <c r="R8" i="21" s="1"/>
  <c r="R55" i="21" s="1"/>
  <c r="I8" i="22"/>
  <c r="H8" i="22"/>
  <c r="E8" i="22"/>
  <c r="D8" i="22"/>
  <c r="C8" i="22"/>
  <c r="B8" i="22"/>
  <c r="Z7" i="22"/>
  <c r="Y7" i="22"/>
  <c r="X7" i="22"/>
  <c r="W7" i="22"/>
  <c r="V7" i="22"/>
  <c r="U7" i="22"/>
  <c r="T7" i="22"/>
  <c r="S7" i="22"/>
  <c r="R7" i="22"/>
  <c r="Q7" i="22"/>
  <c r="P7" i="22"/>
  <c r="O7" i="22"/>
  <c r="M7" i="22"/>
  <c r="L7" i="22"/>
  <c r="K7" i="22"/>
  <c r="J7" i="22"/>
  <c r="I7" i="22"/>
  <c r="H7" i="22"/>
  <c r="G7" i="22"/>
  <c r="F7" i="22"/>
  <c r="E7" i="22"/>
  <c r="D7" i="22"/>
  <c r="C7" i="22"/>
  <c r="B7" i="22"/>
  <c r="Z6" i="22"/>
  <c r="X6" i="22"/>
  <c r="W6" i="22"/>
  <c r="V6" i="22"/>
  <c r="U6" i="22"/>
  <c r="S6" i="22"/>
  <c r="P6" i="22"/>
  <c r="O6" i="22"/>
  <c r="M6" i="22"/>
  <c r="L6" i="22"/>
  <c r="K6" i="22"/>
  <c r="J6" i="22"/>
  <c r="I6" i="22"/>
  <c r="H6" i="22"/>
  <c r="G6" i="22"/>
  <c r="F6" i="22"/>
  <c r="E6" i="22"/>
  <c r="D6" i="22"/>
  <c r="C6" i="22"/>
  <c r="B6" i="22"/>
  <c r="P80" i="21"/>
  <c r="O80" i="21"/>
  <c r="N80" i="21"/>
  <c r="M80" i="21"/>
  <c r="L80" i="21"/>
  <c r="K80" i="21"/>
  <c r="J80" i="21"/>
  <c r="I80" i="21"/>
  <c r="H80" i="21"/>
  <c r="G80" i="21"/>
  <c r="F80" i="21"/>
  <c r="E80" i="21"/>
  <c r="D80" i="21"/>
  <c r="P79" i="21"/>
  <c r="O79" i="21"/>
  <c r="N79" i="21"/>
  <c r="M79" i="21"/>
  <c r="L79" i="21"/>
  <c r="K79" i="21"/>
  <c r="J79" i="21"/>
  <c r="I79" i="21"/>
  <c r="H79" i="21"/>
  <c r="G79" i="21"/>
  <c r="F79" i="21"/>
  <c r="E79" i="21"/>
  <c r="D79" i="21"/>
  <c r="P78" i="21"/>
  <c r="O78" i="21"/>
  <c r="N78" i="21"/>
  <c r="M78" i="21"/>
  <c r="L78" i="21"/>
  <c r="K78" i="21"/>
  <c r="J78" i="21"/>
  <c r="I78" i="21"/>
  <c r="H78" i="21"/>
  <c r="G78" i="21"/>
  <c r="F78" i="21"/>
  <c r="E78" i="21"/>
  <c r="D78" i="21"/>
  <c r="P77" i="21"/>
  <c r="O77" i="21"/>
  <c r="N77" i="21"/>
  <c r="M77" i="21"/>
  <c r="L77" i="21"/>
  <c r="K77" i="21"/>
  <c r="J77" i="21"/>
  <c r="I77" i="21"/>
  <c r="H77" i="21"/>
  <c r="G77" i="21"/>
  <c r="F77" i="21"/>
  <c r="E77" i="21"/>
  <c r="D77" i="21"/>
  <c r="P76" i="21"/>
  <c r="O76" i="21"/>
  <c r="N76" i="21"/>
  <c r="M76" i="21"/>
  <c r="L76" i="21"/>
  <c r="K76" i="21"/>
  <c r="J76" i="21"/>
  <c r="I76" i="21"/>
  <c r="H76" i="21"/>
  <c r="G76" i="21"/>
  <c r="F76" i="21"/>
  <c r="E76" i="21"/>
  <c r="D76" i="21"/>
  <c r="P75" i="21"/>
  <c r="O75" i="21"/>
  <c r="N75" i="21"/>
  <c r="M75" i="21"/>
  <c r="L75" i="21"/>
  <c r="K75" i="21"/>
  <c r="J75" i="21"/>
  <c r="I75" i="21"/>
  <c r="H75" i="21"/>
  <c r="G75" i="21"/>
  <c r="F75" i="21"/>
  <c r="E75" i="21"/>
  <c r="D75" i="21"/>
  <c r="P74" i="21"/>
  <c r="O74" i="21"/>
  <c r="N74" i="21"/>
  <c r="M74" i="21"/>
  <c r="L74" i="21"/>
  <c r="K74" i="21"/>
  <c r="J74" i="21"/>
  <c r="I74" i="21"/>
  <c r="H74" i="21"/>
  <c r="G74" i="21"/>
  <c r="F74" i="21"/>
  <c r="E74" i="21"/>
  <c r="D74" i="21"/>
  <c r="P73" i="21"/>
  <c r="O73" i="21"/>
  <c r="N73" i="21"/>
  <c r="M73" i="21"/>
  <c r="L73" i="21"/>
  <c r="K73" i="21"/>
  <c r="J73" i="21"/>
  <c r="I73" i="21"/>
  <c r="H73" i="21"/>
  <c r="G73" i="21"/>
  <c r="F73" i="21"/>
  <c r="E73" i="21"/>
  <c r="D73" i="21"/>
  <c r="P72" i="21"/>
  <c r="O72" i="21"/>
  <c r="N72" i="21"/>
  <c r="M72" i="21"/>
  <c r="L72" i="21"/>
  <c r="K72" i="21"/>
  <c r="J72" i="21"/>
  <c r="I72" i="21"/>
  <c r="H72" i="21"/>
  <c r="G72" i="21"/>
  <c r="F72" i="21"/>
  <c r="E72" i="21"/>
  <c r="D72" i="21"/>
  <c r="P71" i="21"/>
  <c r="O71" i="21"/>
  <c r="N71" i="21"/>
  <c r="M71" i="21"/>
  <c r="L71" i="21"/>
  <c r="K71" i="21"/>
  <c r="J71" i="21"/>
  <c r="I71" i="21"/>
  <c r="H71" i="21"/>
  <c r="G71" i="21"/>
  <c r="F71" i="21"/>
  <c r="E71" i="21"/>
  <c r="D71" i="21"/>
  <c r="P70" i="21"/>
  <c r="O70" i="21"/>
  <c r="N70" i="21"/>
  <c r="M70" i="21"/>
  <c r="L70" i="21"/>
  <c r="K70" i="21"/>
  <c r="J70" i="21"/>
  <c r="I70" i="21"/>
  <c r="H70" i="21"/>
  <c r="G70" i="21"/>
  <c r="F70" i="21"/>
  <c r="E70" i="21"/>
  <c r="D70" i="21"/>
  <c r="P69" i="21"/>
  <c r="O69" i="21"/>
  <c r="N69" i="21"/>
  <c r="M69" i="21"/>
  <c r="L69" i="21"/>
  <c r="K69" i="21"/>
  <c r="J69" i="21"/>
  <c r="I69" i="21"/>
  <c r="H69" i="21"/>
  <c r="G69" i="21"/>
  <c r="F69" i="21"/>
  <c r="E69" i="21"/>
  <c r="D69" i="21"/>
  <c r="P68" i="21"/>
  <c r="O68" i="21"/>
  <c r="N68" i="21"/>
  <c r="M68" i="21"/>
  <c r="L68" i="21"/>
  <c r="K68" i="21"/>
  <c r="J68" i="21"/>
  <c r="I68" i="21"/>
  <c r="H68" i="21"/>
  <c r="G68" i="21"/>
  <c r="F68" i="21"/>
  <c r="E68" i="21"/>
  <c r="D68" i="21"/>
  <c r="P67" i="21"/>
  <c r="O67" i="21"/>
  <c r="N67" i="21"/>
  <c r="M67" i="21"/>
  <c r="L67" i="21"/>
  <c r="K67" i="21"/>
  <c r="J67" i="21"/>
  <c r="I67" i="21"/>
  <c r="H67" i="21"/>
  <c r="G67" i="21"/>
  <c r="F67" i="21"/>
  <c r="E67" i="21"/>
  <c r="D67" i="21"/>
  <c r="P66" i="21"/>
  <c r="O66" i="21"/>
  <c r="N66" i="21"/>
  <c r="M66" i="21"/>
  <c r="L66" i="21"/>
  <c r="K66" i="21"/>
  <c r="J66" i="21"/>
  <c r="I66" i="21"/>
  <c r="H66" i="21"/>
  <c r="G66" i="21"/>
  <c r="F66" i="21"/>
  <c r="E66" i="21"/>
  <c r="D66" i="21"/>
  <c r="P65" i="21"/>
  <c r="O65" i="21"/>
  <c r="N65" i="21"/>
  <c r="M65" i="21"/>
  <c r="L65" i="21"/>
  <c r="K65" i="21"/>
  <c r="J65" i="21"/>
  <c r="I65" i="21"/>
  <c r="H65" i="21"/>
  <c r="G65" i="21"/>
  <c r="F65" i="21"/>
  <c r="E65" i="21"/>
  <c r="D65" i="21"/>
  <c r="P64" i="21"/>
  <c r="O64" i="21"/>
  <c r="N64" i="21"/>
  <c r="M64" i="21"/>
  <c r="L64" i="21"/>
  <c r="K64" i="21"/>
  <c r="J64" i="21"/>
  <c r="I64" i="21"/>
  <c r="H64" i="21"/>
  <c r="G64" i="21"/>
  <c r="F64" i="21"/>
  <c r="E64" i="21"/>
  <c r="D64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H81" i="21" l="1"/>
  <c r="P81" i="21"/>
  <c r="N28" i="22"/>
  <c r="Q28" i="21" s="1"/>
  <c r="Q75" i="21" s="1"/>
  <c r="N8" i="22"/>
  <c r="Q8" i="21" s="1"/>
  <c r="Q55" i="21" s="1"/>
  <c r="N29" i="22"/>
  <c r="Q29" i="21" s="1"/>
  <c r="Q76" i="21" s="1"/>
  <c r="N33" i="22"/>
  <c r="Q33" i="21" s="1"/>
  <c r="B49" i="22"/>
  <c r="F49" i="22"/>
  <c r="J49" i="22"/>
  <c r="S49" i="22"/>
  <c r="E34" i="22"/>
  <c r="I34" i="22"/>
  <c r="M34" i="22"/>
  <c r="U34" i="22"/>
  <c r="Z34" i="22"/>
  <c r="R34" i="22"/>
  <c r="E49" i="22"/>
  <c r="I49" i="22"/>
  <c r="M49" i="22"/>
  <c r="R49" i="22"/>
  <c r="V49" i="22"/>
  <c r="N43" i="22"/>
  <c r="Q43" i="21" s="1"/>
  <c r="N46" i="22"/>
  <c r="Q46" i="21" s="1"/>
  <c r="N48" i="22"/>
  <c r="Q48" i="21" s="1"/>
  <c r="AA38" i="22"/>
  <c r="R38" i="21" s="1"/>
  <c r="C49" i="22"/>
  <c r="G49" i="22"/>
  <c r="K49" i="22"/>
  <c r="P49" i="22"/>
  <c r="N39" i="22"/>
  <c r="Q39" i="21" s="1"/>
  <c r="N40" i="22"/>
  <c r="Q40" i="21" s="1"/>
  <c r="N41" i="22"/>
  <c r="Q41" i="21" s="1"/>
  <c r="N42" i="22"/>
  <c r="Q42" i="21" s="1"/>
  <c r="N44" i="22"/>
  <c r="Q44" i="21" s="1"/>
  <c r="N45" i="22"/>
  <c r="Q45" i="21" s="1"/>
  <c r="N47" i="22"/>
  <c r="Q47" i="21" s="1"/>
  <c r="D34" i="22"/>
  <c r="H34" i="22"/>
  <c r="Y34" i="22"/>
  <c r="D49" i="22"/>
  <c r="H49" i="22"/>
  <c r="L49" i="22"/>
  <c r="Q49" i="22"/>
  <c r="U49" i="22"/>
  <c r="AA43" i="22"/>
  <c r="R43" i="21" s="1"/>
  <c r="AA44" i="22"/>
  <c r="R44" i="21" s="1"/>
  <c r="R59" i="21" s="1"/>
  <c r="AA45" i="22"/>
  <c r="R45" i="21" s="1"/>
  <c r="AA47" i="22"/>
  <c r="R47" i="21" s="1"/>
  <c r="B34" i="22"/>
  <c r="F34" i="22"/>
  <c r="O34" i="22"/>
  <c r="V34" i="22"/>
  <c r="AA40" i="22"/>
  <c r="R40" i="21" s="1"/>
  <c r="AA41" i="22"/>
  <c r="R41" i="21" s="1"/>
  <c r="C34" i="22"/>
  <c r="G34" i="22"/>
  <c r="K34" i="22"/>
  <c r="P34" i="22"/>
  <c r="W34" i="22"/>
  <c r="T34" i="22"/>
  <c r="N12" i="22"/>
  <c r="Q12" i="21" s="1"/>
  <c r="T49" i="22"/>
  <c r="T51" i="22" s="1"/>
  <c r="L34" i="22"/>
  <c r="S34" i="22"/>
  <c r="X34" i="22"/>
  <c r="Q34" i="22"/>
  <c r="AA25" i="22"/>
  <c r="R25" i="21" s="1"/>
  <c r="R72" i="21" s="1"/>
  <c r="AA28" i="22"/>
  <c r="R28" i="21" s="1"/>
  <c r="R75" i="21" s="1"/>
  <c r="AA46" i="22"/>
  <c r="R46" i="21" s="1"/>
  <c r="AA48" i="22"/>
  <c r="R48" i="21" s="1"/>
  <c r="AA7" i="22"/>
  <c r="R7" i="21" s="1"/>
  <c r="N11" i="22"/>
  <c r="Q11" i="21" s="1"/>
  <c r="Q58" i="21" s="1"/>
  <c r="N15" i="22"/>
  <c r="Q15" i="21" s="1"/>
  <c r="Q62" i="21" s="1"/>
  <c r="N16" i="22"/>
  <c r="Q16" i="21" s="1"/>
  <c r="N17" i="22"/>
  <c r="Q17" i="21" s="1"/>
  <c r="Q64" i="21" s="1"/>
  <c r="N24" i="22"/>
  <c r="Q24" i="21" s="1"/>
  <c r="Q71" i="21" s="1"/>
  <c r="N25" i="22"/>
  <c r="Q25" i="21" s="1"/>
  <c r="Q72" i="21" s="1"/>
  <c r="N30" i="22"/>
  <c r="Q30" i="21" s="1"/>
  <c r="Q77" i="21" s="1"/>
  <c r="N32" i="22"/>
  <c r="Q32" i="21" s="1"/>
  <c r="Q79" i="21" s="1"/>
  <c r="N6" i="22"/>
  <c r="Q6" i="21" s="1"/>
  <c r="AA14" i="22"/>
  <c r="R14" i="21" s="1"/>
  <c r="AA16" i="22"/>
  <c r="R16" i="21" s="1"/>
  <c r="AA20" i="22"/>
  <c r="R20" i="21" s="1"/>
  <c r="AA22" i="22"/>
  <c r="R22" i="21" s="1"/>
  <c r="AA26" i="22"/>
  <c r="R26" i="21" s="1"/>
  <c r="R73" i="21" s="1"/>
  <c r="AA29" i="22"/>
  <c r="R29" i="21" s="1"/>
  <c r="R76" i="21" s="1"/>
  <c r="AA30" i="22"/>
  <c r="R30" i="21" s="1"/>
  <c r="R77" i="21" s="1"/>
  <c r="O49" i="22"/>
  <c r="O51" i="22" s="1"/>
  <c r="AA39" i="22"/>
  <c r="R39" i="21" s="1"/>
  <c r="AA42" i="22"/>
  <c r="R42" i="21" s="1"/>
  <c r="N9" i="22"/>
  <c r="Q9" i="21" s="1"/>
  <c r="Q56" i="21" s="1"/>
  <c r="N10" i="22"/>
  <c r="Q10" i="21" s="1"/>
  <c r="N13" i="22"/>
  <c r="Q13" i="21" s="1"/>
  <c r="N14" i="22"/>
  <c r="Q14" i="21" s="1"/>
  <c r="N18" i="22"/>
  <c r="Q18" i="21" s="1"/>
  <c r="Q65" i="21" s="1"/>
  <c r="N19" i="22"/>
  <c r="Q19" i="21" s="1"/>
  <c r="Q66" i="21" s="1"/>
  <c r="N20" i="22"/>
  <c r="Q20" i="21" s="1"/>
  <c r="N21" i="22"/>
  <c r="Q21" i="21" s="1"/>
  <c r="Q68" i="21" s="1"/>
  <c r="N22" i="22"/>
  <c r="Q22" i="21" s="1"/>
  <c r="N23" i="22"/>
  <c r="Q23" i="21" s="1"/>
  <c r="N26" i="22"/>
  <c r="Q26" i="21" s="1"/>
  <c r="Q73" i="21" s="1"/>
  <c r="N27" i="22"/>
  <c r="Q27" i="21" s="1"/>
  <c r="Q74" i="21" s="1"/>
  <c r="N31" i="22"/>
  <c r="Q31" i="21" s="1"/>
  <c r="Q78" i="21" s="1"/>
  <c r="X49" i="22"/>
  <c r="Z49" i="22"/>
  <c r="N7" i="22"/>
  <c r="Q7" i="21" s="1"/>
  <c r="AA9" i="22"/>
  <c r="R9" i="21" s="1"/>
  <c r="R56" i="21" s="1"/>
  <c r="AA10" i="22"/>
  <c r="R10" i="21" s="1"/>
  <c r="R57" i="21" s="1"/>
  <c r="AA11" i="22"/>
  <c r="R11" i="21" s="1"/>
  <c r="R58" i="21" s="1"/>
  <c r="AA13" i="22"/>
  <c r="R13" i="21" s="1"/>
  <c r="AA15" i="22"/>
  <c r="R15" i="21" s="1"/>
  <c r="AA17" i="22"/>
  <c r="R17" i="21" s="1"/>
  <c r="R64" i="21" s="1"/>
  <c r="AA18" i="22"/>
  <c r="R18" i="21" s="1"/>
  <c r="R65" i="21" s="1"/>
  <c r="AA19" i="22"/>
  <c r="R19" i="21" s="1"/>
  <c r="R66" i="21" s="1"/>
  <c r="AA21" i="22"/>
  <c r="R21" i="21" s="1"/>
  <c r="R68" i="21" s="1"/>
  <c r="AA23" i="22"/>
  <c r="R23" i="21" s="1"/>
  <c r="R70" i="21" s="1"/>
  <c r="AA24" i="22"/>
  <c r="R24" i="21" s="1"/>
  <c r="R71" i="21" s="1"/>
  <c r="AA27" i="22"/>
  <c r="R27" i="21" s="1"/>
  <c r="R74" i="21" s="1"/>
  <c r="AA31" i="22"/>
  <c r="R31" i="21" s="1"/>
  <c r="R78" i="21" s="1"/>
  <c r="AA32" i="22"/>
  <c r="R32" i="21" s="1"/>
  <c r="R79" i="21" s="1"/>
  <c r="AA33" i="22"/>
  <c r="R33" i="21" s="1"/>
  <c r="AA6" i="22"/>
  <c r="R6" i="21" s="1"/>
  <c r="R53" i="21" s="1"/>
  <c r="N38" i="22"/>
  <c r="Q38" i="21" s="1"/>
  <c r="Y49" i="22"/>
  <c r="J34" i="22"/>
  <c r="W49" i="22"/>
  <c r="W51" i="22" s="1"/>
  <c r="H111" i="21"/>
  <c r="H107" i="21"/>
  <c r="H89" i="21"/>
  <c r="P107" i="21"/>
  <c r="P111" i="21"/>
  <c r="P89" i="21"/>
  <c r="P94" i="21"/>
  <c r="R63" i="21"/>
  <c r="E81" i="21"/>
  <c r="E90" i="21" s="1"/>
  <c r="I81" i="21"/>
  <c r="I102" i="21" s="1"/>
  <c r="M81" i="21"/>
  <c r="M90" i="21" s="1"/>
  <c r="H93" i="21"/>
  <c r="P93" i="21"/>
  <c r="J81" i="21"/>
  <c r="J105" i="21" s="1"/>
  <c r="E89" i="21"/>
  <c r="H92" i="21"/>
  <c r="E93" i="21"/>
  <c r="M93" i="21"/>
  <c r="E96" i="21"/>
  <c r="M96" i="21"/>
  <c r="M98" i="21"/>
  <c r="E100" i="21"/>
  <c r="M100" i="21"/>
  <c r="E102" i="21"/>
  <c r="M102" i="21"/>
  <c r="E104" i="21"/>
  <c r="M104" i="21"/>
  <c r="H110" i="21"/>
  <c r="P110" i="21"/>
  <c r="D81" i="21"/>
  <c r="D89" i="21" s="1"/>
  <c r="F81" i="21"/>
  <c r="F101" i="21" s="1"/>
  <c r="N81" i="21"/>
  <c r="N88" i="21" s="1"/>
  <c r="H88" i="21"/>
  <c r="P88" i="21"/>
  <c r="F90" i="21"/>
  <c r="D92" i="21"/>
  <c r="P92" i="21"/>
  <c r="G81" i="21"/>
  <c r="G89" i="21" s="1"/>
  <c r="K81" i="21"/>
  <c r="K89" i="21" s="1"/>
  <c r="O81" i="21"/>
  <c r="O86" i="21" s="1"/>
  <c r="D87" i="21"/>
  <c r="H87" i="21"/>
  <c r="P87" i="21"/>
  <c r="E88" i="21"/>
  <c r="M88" i="21"/>
  <c r="F89" i="21"/>
  <c r="O90" i="21"/>
  <c r="H91" i="21"/>
  <c r="P91" i="21"/>
  <c r="I92" i="21"/>
  <c r="F93" i="21"/>
  <c r="G94" i="21"/>
  <c r="O94" i="21"/>
  <c r="D95" i="21"/>
  <c r="H95" i="21"/>
  <c r="P95" i="21"/>
  <c r="H97" i="21"/>
  <c r="P97" i="21"/>
  <c r="D99" i="21"/>
  <c r="H99" i="21"/>
  <c r="P99" i="21"/>
  <c r="H101" i="21"/>
  <c r="P101" i="21"/>
  <c r="D103" i="21"/>
  <c r="H103" i="21"/>
  <c r="P103" i="21"/>
  <c r="H105" i="21"/>
  <c r="P105" i="21"/>
  <c r="E107" i="21"/>
  <c r="M107" i="21"/>
  <c r="H86" i="21"/>
  <c r="P86" i="21"/>
  <c r="H90" i="21"/>
  <c r="P90" i="21"/>
  <c r="H94" i="21"/>
  <c r="E95" i="21"/>
  <c r="K98" i="21"/>
  <c r="O100" i="21"/>
  <c r="K102" i="21"/>
  <c r="G104" i="21"/>
  <c r="O104" i="21"/>
  <c r="D106" i="21"/>
  <c r="H106" i="21"/>
  <c r="P106" i="21"/>
  <c r="D108" i="21"/>
  <c r="H108" i="21"/>
  <c r="P108" i="21"/>
  <c r="F110" i="21"/>
  <c r="J110" i="21"/>
  <c r="D112" i="21"/>
  <c r="H112" i="21"/>
  <c r="P112" i="21"/>
  <c r="L81" i="21"/>
  <c r="L93" i="21" s="1"/>
  <c r="M95" i="21"/>
  <c r="F96" i="21"/>
  <c r="J96" i="21"/>
  <c r="K97" i="21"/>
  <c r="D98" i="21"/>
  <c r="H98" i="21"/>
  <c r="P98" i="21"/>
  <c r="E99" i="21"/>
  <c r="M99" i="21"/>
  <c r="F100" i="21"/>
  <c r="G101" i="21"/>
  <c r="O101" i="21"/>
  <c r="D102" i="21"/>
  <c r="H102" i="21"/>
  <c r="P102" i="21"/>
  <c r="E103" i="21"/>
  <c r="M103" i="21"/>
  <c r="F104" i="21"/>
  <c r="J104" i="21"/>
  <c r="K105" i="21"/>
  <c r="E106" i="21"/>
  <c r="M106" i="21"/>
  <c r="F107" i="21"/>
  <c r="G108" i="21"/>
  <c r="O108" i="21"/>
  <c r="E109" i="21"/>
  <c r="M109" i="21"/>
  <c r="E111" i="21"/>
  <c r="M111" i="21"/>
  <c r="E113" i="21"/>
  <c r="I113" i="21"/>
  <c r="M113" i="21"/>
  <c r="K95" i="21"/>
  <c r="D96" i="21"/>
  <c r="H96" i="21"/>
  <c r="L96" i="21"/>
  <c r="P96" i="21"/>
  <c r="E97" i="21"/>
  <c r="M97" i="21"/>
  <c r="F98" i="21"/>
  <c r="G99" i="21"/>
  <c r="O99" i="21"/>
  <c r="D100" i="21"/>
  <c r="H100" i="21"/>
  <c r="P100" i="21"/>
  <c r="E101" i="21"/>
  <c r="M101" i="21"/>
  <c r="F102" i="21"/>
  <c r="K103" i="21"/>
  <c r="D104" i="21"/>
  <c r="H104" i="21"/>
  <c r="L104" i="21"/>
  <c r="P104" i="21"/>
  <c r="E105" i="21"/>
  <c r="M105" i="21"/>
  <c r="K109" i="21"/>
  <c r="G111" i="21"/>
  <c r="O111" i="21"/>
  <c r="K113" i="21"/>
  <c r="D109" i="21"/>
  <c r="H109" i="21"/>
  <c r="L109" i="21"/>
  <c r="P109" i="21"/>
  <c r="E110" i="21"/>
  <c r="M110" i="21"/>
  <c r="F111" i="21"/>
  <c r="G112" i="21"/>
  <c r="O112" i="21"/>
  <c r="D113" i="21"/>
  <c r="H113" i="21"/>
  <c r="P113" i="21"/>
  <c r="N98" i="21" l="1"/>
  <c r="I109" i="21"/>
  <c r="N107" i="21"/>
  <c r="K96" i="21"/>
  <c r="D94" i="21"/>
  <c r="I86" i="21"/>
  <c r="D101" i="21"/>
  <c r="N93" i="21"/>
  <c r="N89" i="21"/>
  <c r="I89" i="21"/>
  <c r="I104" i="21"/>
  <c r="N94" i="21"/>
  <c r="I101" i="21"/>
  <c r="N100" i="21"/>
  <c r="I95" i="21"/>
  <c r="J92" i="21"/>
  <c r="J88" i="21"/>
  <c r="J93" i="21"/>
  <c r="J89" i="21"/>
  <c r="J108" i="21"/>
  <c r="I100" i="21"/>
  <c r="I96" i="21"/>
  <c r="Q61" i="21"/>
  <c r="N111" i="21"/>
  <c r="N102" i="21"/>
  <c r="J98" i="21"/>
  <c r="J107" i="21"/>
  <c r="J111" i="21"/>
  <c r="J102" i="21"/>
  <c r="N104" i="21"/>
  <c r="I103" i="21"/>
  <c r="J100" i="21"/>
  <c r="N96" i="21"/>
  <c r="N110" i="21"/>
  <c r="I107" i="21"/>
  <c r="D105" i="21"/>
  <c r="D97" i="21"/>
  <c r="D91" i="21"/>
  <c r="J90" i="21"/>
  <c r="J112" i="21"/>
  <c r="J106" i="21"/>
  <c r="G100" i="21"/>
  <c r="G90" i="21"/>
  <c r="M94" i="21"/>
  <c r="E98" i="21"/>
  <c r="J94" i="21"/>
  <c r="M89" i="21"/>
  <c r="E94" i="21"/>
  <c r="R61" i="21"/>
  <c r="Q80" i="21"/>
  <c r="R80" i="21"/>
  <c r="Q67" i="21"/>
  <c r="Q60" i="21"/>
  <c r="Q63" i="21"/>
  <c r="R60" i="21"/>
  <c r="Q54" i="21"/>
  <c r="R67" i="21"/>
  <c r="Q59" i="21"/>
  <c r="R69" i="21"/>
  <c r="Q34" i="21"/>
  <c r="Q70" i="21"/>
  <c r="Q57" i="21"/>
  <c r="Q49" i="21"/>
  <c r="R62" i="21"/>
  <c r="Q69" i="21"/>
  <c r="N106" i="21"/>
  <c r="D88" i="21"/>
  <c r="N103" i="21"/>
  <c r="F99" i="21"/>
  <c r="J91" i="21"/>
  <c r="M87" i="21"/>
  <c r="N86" i="21"/>
  <c r="N112" i="21"/>
  <c r="F94" i="21"/>
  <c r="N90" i="21"/>
  <c r="F103" i="21"/>
  <c r="J97" i="21"/>
  <c r="N92" i="21"/>
  <c r="F91" i="21"/>
  <c r="J87" i="21"/>
  <c r="D110" i="21"/>
  <c r="F106" i="21"/>
  <c r="J86" i="21"/>
  <c r="J101" i="21"/>
  <c r="N95" i="21"/>
  <c r="M91" i="21"/>
  <c r="F86" i="21"/>
  <c r="F112" i="21"/>
  <c r="N99" i="21"/>
  <c r="F95" i="21"/>
  <c r="R54" i="21"/>
  <c r="R49" i="21"/>
  <c r="R34" i="21"/>
  <c r="Q53" i="21"/>
  <c r="N34" i="22"/>
  <c r="N49" i="22"/>
  <c r="N51" i="22" s="1"/>
  <c r="AA49" i="22"/>
  <c r="AA51" i="22" s="1"/>
  <c r="AA34" i="22"/>
  <c r="K106" i="21"/>
  <c r="K110" i="21"/>
  <c r="G87" i="21"/>
  <c r="O91" i="21"/>
  <c r="I94" i="21"/>
  <c r="G92" i="21"/>
  <c r="O93" i="21"/>
  <c r="O89" i="21"/>
  <c r="L113" i="21"/>
  <c r="K112" i="21"/>
  <c r="O113" i="21"/>
  <c r="K111" i="21"/>
  <c r="G109" i="21"/>
  <c r="O103" i="21"/>
  <c r="I97" i="21"/>
  <c r="I111" i="21"/>
  <c r="I106" i="21"/>
  <c r="G105" i="21"/>
  <c r="L102" i="21"/>
  <c r="K101" i="21"/>
  <c r="O97" i="21"/>
  <c r="L108" i="21"/>
  <c r="L106" i="21"/>
  <c r="K104" i="21"/>
  <c r="G102" i="21"/>
  <c r="O98" i="21"/>
  <c r="O96" i="21"/>
  <c r="K93" i="21"/>
  <c r="I87" i="21"/>
  <c r="K90" i="21"/>
  <c r="G86" i="21"/>
  <c r="I93" i="21"/>
  <c r="K91" i="21"/>
  <c r="N113" i="21"/>
  <c r="N105" i="21"/>
  <c r="N109" i="21"/>
  <c r="N87" i="21"/>
  <c r="D107" i="21"/>
  <c r="D111" i="21"/>
  <c r="N108" i="21"/>
  <c r="I98" i="21"/>
  <c r="G91" i="21"/>
  <c r="L88" i="21"/>
  <c r="J113" i="21"/>
  <c r="J109" i="21"/>
  <c r="G107" i="21"/>
  <c r="J103" i="21"/>
  <c r="N97" i="21"/>
  <c r="J95" i="21"/>
  <c r="D93" i="21"/>
  <c r="N91" i="21"/>
  <c r="E108" i="21"/>
  <c r="E112" i="21"/>
  <c r="E86" i="21"/>
  <c r="G93" i="21"/>
  <c r="E91" i="21"/>
  <c r="E87" i="21"/>
  <c r="L89" i="21"/>
  <c r="L98" i="21"/>
  <c r="L94" i="21"/>
  <c r="G110" i="21"/>
  <c r="G106" i="21"/>
  <c r="G88" i="21"/>
  <c r="L110" i="21"/>
  <c r="L90" i="21"/>
  <c r="L86" i="21"/>
  <c r="K88" i="21"/>
  <c r="L112" i="21"/>
  <c r="L87" i="21"/>
  <c r="O106" i="21"/>
  <c r="O110" i="21"/>
  <c r="O88" i="21"/>
  <c r="G95" i="21"/>
  <c r="O92" i="21"/>
  <c r="I110" i="21"/>
  <c r="G113" i="21"/>
  <c r="O109" i="21"/>
  <c r="I105" i="21"/>
  <c r="G103" i="21"/>
  <c r="L100" i="21"/>
  <c r="K99" i="21"/>
  <c r="O95" i="21"/>
  <c r="K108" i="21"/>
  <c r="O105" i="21"/>
  <c r="I99" i="21"/>
  <c r="G97" i="21"/>
  <c r="O102" i="21"/>
  <c r="K100" i="21"/>
  <c r="G98" i="21"/>
  <c r="G96" i="21"/>
  <c r="I91" i="21"/>
  <c r="L105" i="21"/>
  <c r="L103" i="21"/>
  <c r="L101" i="21"/>
  <c r="L99" i="21"/>
  <c r="L97" i="21"/>
  <c r="L95" i="21"/>
  <c r="K94" i="21"/>
  <c r="I88" i="21"/>
  <c r="K86" i="21"/>
  <c r="L92" i="21"/>
  <c r="O87" i="21"/>
  <c r="F109" i="21"/>
  <c r="F113" i="21"/>
  <c r="F87" i="21"/>
  <c r="F108" i="21"/>
  <c r="K87" i="21"/>
  <c r="O107" i="21"/>
  <c r="F105" i="21"/>
  <c r="N101" i="21"/>
  <c r="J99" i="21"/>
  <c r="F97" i="21"/>
  <c r="K92" i="21"/>
  <c r="M108" i="21"/>
  <c r="M112" i="21"/>
  <c r="M92" i="21"/>
  <c r="M86" i="21"/>
  <c r="F92" i="21"/>
  <c r="D90" i="21"/>
  <c r="F88" i="21"/>
  <c r="D86" i="21"/>
  <c r="E92" i="21"/>
  <c r="L107" i="21"/>
  <c r="L111" i="21"/>
  <c r="L91" i="21"/>
  <c r="K107" i="21"/>
  <c r="I112" i="21"/>
  <c r="I108" i="21"/>
  <c r="I90" i="21"/>
  <c r="Q81" i="21" l="1"/>
  <c r="Q110" i="21" s="1"/>
  <c r="R81" i="21"/>
  <c r="R96" i="21" s="1"/>
  <c r="J61" i="17"/>
  <c r="F62" i="17"/>
  <c r="J63" i="17" s="1"/>
  <c r="Q96" i="21" l="1"/>
  <c r="R105" i="21"/>
  <c r="Q102" i="21"/>
  <c r="R109" i="21"/>
  <c r="R106" i="21"/>
  <c r="R98" i="21"/>
  <c r="R102" i="21"/>
  <c r="R92" i="21"/>
  <c r="Q94" i="21"/>
  <c r="R90" i="21"/>
  <c r="Q90" i="21"/>
  <c r="Q109" i="21"/>
  <c r="Q107" i="21"/>
  <c r="Q111" i="21"/>
  <c r="Q95" i="21"/>
  <c r="Q100" i="21"/>
  <c r="R100" i="21"/>
  <c r="R103" i="21"/>
  <c r="Q87" i="21"/>
  <c r="Q101" i="21"/>
  <c r="Q112" i="21"/>
  <c r="Q93" i="21"/>
  <c r="R86" i="21"/>
  <c r="R108" i="21"/>
  <c r="R104" i="21"/>
  <c r="R91" i="21"/>
  <c r="Q91" i="21"/>
  <c r="Q106" i="21"/>
  <c r="Q108" i="21"/>
  <c r="Q98" i="21"/>
  <c r="Q92" i="21"/>
  <c r="Q86" i="21"/>
  <c r="Q113" i="21"/>
  <c r="R97" i="21"/>
  <c r="R101" i="21"/>
  <c r="R88" i="21"/>
  <c r="R113" i="21"/>
  <c r="Q103" i="21"/>
  <c r="Q104" i="21"/>
  <c r="Q88" i="21"/>
  <c r="Q89" i="21"/>
  <c r="Q97" i="21"/>
  <c r="Q99" i="21"/>
  <c r="Q105" i="21"/>
  <c r="R99" i="21"/>
  <c r="R94" i="21"/>
  <c r="R111" i="21"/>
  <c r="R89" i="21"/>
  <c r="R107" i="21"/>
  <c r="R112" i="21"/>
  <c r="R93" i="21"/>
  <c r="R87" i="21"/>
  <c r="R110" i="21"/>
  <c r="R95" i="21"/>
  <c r="AZ37" i="29" l="1"/>
  <c r="BB38" i="29"/>
  <c r="BB44" i="29" s="1"/>
  <c r="BA38" i="29"/>
  <c r="BA44" i="29" s="1"/>
  <c r="BB36" i="29"/>
  <c r="BB42" i="29" s="1"/>
  <c r="BA36" i="29"/>
  <c r="BA42" i="29" s="1"/>
  <c r="AZ35" i="29" l="1"/>
  <c r="AY37" i="29"/>
  <c r="AZ38" i="29"/>
  <c r="AX38" i="29"/>
  <c r="AX35" i="29"/>
  <c r="AY34" i="29"/>
  <c r="AY36" i="29"/>
  <c r="AX36" i="29"/>
  <c r="AX34" i="29"/>
  <c r="AX37" i="29"/>
  <c r="AZ34" i="29"/>
  <c r="AZ43" i="29" s="1"/>
  <c r="AZ36" i="29"/>
  <c r="AY42" i="29" l="1"/>
  <c r="AX42" i="29"/>
  <c r="AX44" i="29"/>
  <c r="AY43" i="29"/>
  <c r="BA17" i="29"/>
  <c r="BA18" i="29" s="1"/>
  <c r="BA22" i="29" s="1"/>
  <c r="AX41" i="29"/>
  <c r="AZ44" i="29"/>
  <c r="AZ41" i="29"/>
  <c r="AZ42" i="29"/>
  <c r="AX43" i="29"/>
  <c r="AY35" i="29" l="1"/>
  <c r="AY41" i="29" s="1"/>
  <c r="J62" i="17"/>
  <c r="AX17" i="29" l="1"/>
  <c r="AX18" i="29" s="1"/>
  <c r="AX22" i="29" s="1"/>
  <c r="AB17" i="29"/>
  <c r="AB18" i="29" s="1"/>
  <c r="AB22" i="29" s="1"/>
  <c r="AF17" i="29"/>
  <c r="AF18" i="29" s="1"/>
  <c r="AF22" i="29" s="1"/>
  <c r="AJ17" i="29"/>
  <c r="AJ18" i="29" s="1"/>
  <c r="AJ22" i="29" s="1"/>
  <c r="AN17" i="29"/>
  <c r="AN18" i="29" s="1"/>
  <c r="AN22" i="29" s="1"/>
  <c r="AR17" i="29"/>
  <c r="AR18" i="29" s="1"/>
  <c r="AR22" i="29" s="1"/>
  <c r="AV17" i="29"/>
  <c r="AV18" i="29" s="1"/>
  <c r="AV22" i="29" s="1"/>
  <c r="AZ17" i="29"/>
  <c r="AZ18" i="29" s="1"/>
  <c r="AZ22" i="29" s="1"/>
  <c r="AC17" i="29"/>
  <c r="AC18" i="29" s="1"/>
  <c r="AC22" i="29" s="1"/>
  <c r="AG17" i="29"/>
  <c r="AG18" i="29" s="1"/>
  <c r="AG22" i="29" s="1"/>
  <c r="AK17" i="29"/>
  <c r="AK18" i="29" s="1"/>
  <c r="AK22" i="29" s="1"/>
  <c r="AO17" i="29"/>
  <c r="AO18" i="29" s="1"/>
  <c r="AO22" i="29" s="1"/>
  <c r="AS17" i="29"/>
  <c r="AS18" i="29" s="1"/>
  <c r="AS22" i="29" s="1"/>
  <c r="AW17" i="29"/>
  <c r="AW18" i="29" s="1"/>
  <c r="AW22" i="29" s="1"/>
  <c r="Z17" i="29"/>
  <c r="Z18" i="29" s="1"/>
  <c r="Z22" i="29" s="1"/>
  <c r="AD17" i="29"/>
  <c r="AD18" i="29" s="1"/>
  <c r="AD22" i="29" s="1"/>
  <c r="AH17" i="29"/>
  <c r="AH18" i="29" s="1"/>
  <c r="AH22" i="29" s="1"/>
  <c r="AL17" i="29"/>
  <c r="AL18" i="29" s="1"/>
  <c r="AL22" i="29" s="1"/>
  <c r="AX26" i="29" s="1"/>
  <c r="AP17" i="29"/>
  <c r="AP18" i="29" s="1"/>
  <c r="AP22" i="29" s="1"/>
  <c r="AT17" i="29"/>
  <c r="AT18" i="29" s="1"/>
  <c r="AT22" i="29" s="1"/>
  <c r="AA17" i="29"/>
  <c r="AA18" i="29" s="1"/>
  <c r="AA22" i="29" s="1"/>
  <c r="AE17" i="29"/>
  <c r="AE18" i="29" s="1"/>
  <c r="AE22" i="29" s="1"/>
  <c r="AI17" i="29"/>
  <c r="AI18" i="29" s="1"/>
  <c r="AI22" i="29" s="1"/>
  <c r="AM17" i="29"/>
  <c r="AM18" i="29" s="1"/>
  <c r="AM22" i="29" s="1"/>
  <c r="AQ17" i="29"/>
  <c r="AQ18" i="29" s="1"/>
  <c r="AQ22" i="29" s="1"/>
  <c r="AU17" i="29"/>
  <c r="AU18" i="29" s="1"/>
  <c r="AU22" i="29" s="1"/>
  <c r="AY17" i="29"/>
  <c r="AY18" i="29" s="1"/>
  <c r="AY22" i="29" s="1"/>
  <c r="AY38" i="29"/>
  <c r="AY44" i="29" s="1"/>
  <c r="AX29" i="29" l="1"/>
  <c r="BH29" i="29"/>
  <c r="BH26" i="29"/>
  <c r="AU26" i="29"/>
  <c r="AU29" i="29"/>
  <c r="AM26" i="29"/>
  <c r="AM29" i="29"/>
  <c r="AE26" i="29"/>
  <c r="AE29" i="29"/>
  <c r="AX47" i="29"/>
  <c r="AX30" i="29"/>
  <c r="AP29" i="29"/>
  <c r="AP26" i="29"/>
  <c r="AH29" i="29"/>
  <c r="AH26" i="29"/>
  <c r="Z26" i="29"/>
  <c r="Z29" i="29"/>
  <c r="AS29" i="29"/>
  <c r="AS26" i="29"/>
  <c r="AK26" i="29"/>
  <c r="AK29" i="29"/>
  <c r="AC29" i="29"/>
  <c r="AC26" i="29"/>
  <c r="AV26" i="29"/>
  <c r="AV29" i="29"/>
  <c r="AN26" i="29"/>
  <c r="AN29" i="29"/>
  <c r="AF26" i="29"/>
  <c r="AF29" i="29"/>
  <c r="AY29" i="29"/>
  <c r="AY26" i="29"/>
  <c r="AZ29" i="29"/>
  <c r="AZ26" i="29"/>
  <c r="AQ29" i="29"/>
  <c r="AQ26" i="29"/>
  <c r="AI29" i="29"/>
  <c r="AI26" i="29"/>
  <c r="AA29" i="29"/>
  <c r="AA26" i="29"/>
  <c r="AT29" i="29"/>
  <c r="AT26" i="29"/>
  <c r="Q26" i="29"/>
  <c r="H26" i="29"/>
  <c r="P26" i="29"/>
  <c r="X26" i="29"/>
  <c r="F26" i="29"/>
  <c r="M26" i="29"/>
  <c r="G26" i="29"/>
  <c r="O26" i="29"/>
  <c r="W26" i="29"/>
  <c r="V26" i="29"/>
  <c r="R26" i="29"/>
  <c r="J29" i="29"/>
  <c r="I29" i="29"/>
  <c r="Y29" i="29"/>
  <c r="D29" i="29"/>
  <c r="L29" i="29"/>
  <c r="T29" i="29"/>
  <c r="N29" i="29"/>
  <c r="AL29" i="29"/>
  <c r="E29" i="29"/>
  <c r="U29" i="29"/>
  <c r="C29" i="29"/>
  <c r="K29" i="29"/>
  <c r="S29" i="29"/>
  <c r="J26" i="29"/>
  <c r="I26" i="29"/>
  <c r="Y26" i="29"/>
  <c r="D26" i="29"/>
  <c r="L26" i="29"/>
  <c r="T26" i="29"/>
  <c r="N26" i="29"/>
  <c r="AL26" i="29"/>
  <c r="E26" i="29"/>
  <c r="U26" i="29"/>
  <c r="C26" i="29"/>
  <c r="K26" i="29"/>
  <c r="S26" i="29"/>
  <c r="Q29" i="29"/>
  <c r="H29" i="29"/>
  <c r="P29" i="29"/>
  <c r="X29" i="29"/>
  <c r="F29" i="29"/>
  <c r="M29" i="29"/>
  <c r="G29" i="29"/>
  <c r="O29" i="29"/>
  <c r="W29" i="29"/>
  <c r="V29" i="29"/>
  <c r="R29" i="29"/>
  <c r="BG29" i="29"/>
  <c r="BG26" i="29"/>
  <c r="BF26" i="29"/>
  <c r="BF29" i="29"/>
  <c r="BB29" i="29"/>
  <c r="BD26" i="29"/>
  <c r="BD29" i="29"/>
  <c r="BC26" i="29"/>
  <c r="BB26" i="29"/>
  <c r="BC29" i="29"/>
  <c r="BE26" i="29"/>
  <c r="BE29" i="29"/>
  <c r="BA26" i="29"/>
  <c r="BA29" i="29"/>
  <c r="AD26" i="29"/>
  <c r="AD29" i="29"/>
  <c r="AW26" i="29"/>
  <c r="AW29" i="29"/>
  <c r="AO29" i="29"/>
  <c r="AO26" i="29"/>
  <c r="AG26" i="29"/>
  <c r="AG29" i="29"/>
  <c r="AR29" i="29"/>
  <c r="AR26" i="29"/>
  <c r="AJ29" i="29"/>
  <c r="AJ26" i="29"/>
  <c r="AB29" i="29"/>
  <c r="AB26" i="29"/>
  <c r="G71" i="17" l="1"/>
  <c r="BH47" i="29"/>
  <c r="BH30" i="29"/>
  <c r="G46" i="17"/>
  <c r="BD30" i="29"/>
  <c r="BD47" i="29"/>
  <c r="K30" i="29"/>
  <c r="K47" i="29"/>
  <c r="AL47" i="29"/>
  <c r="AL30" i="29"/>
  <c r="D30" i="29"/>
  <c r="D47" i="29"/>
  <c r="O30" i="29"/>
  <c r="O47" i="29"/>
  <c r="X30" i="29"/>
  <c r="X47" i="29"/>
  <c r="AT47" i="29"/>
  <c r="AT30" i="29"/>
  <c r="AI30" i="29"/>
  <c r="AI47" i="29"/>
  <c r="G25" i="17"/>
  <c r="G26" i="17"/>
  <c r="AY30" i="29"/>
  <c r="AY47" i="29"/>
  <c r="AC30" i="29"/>
  <c r="AC47" i="29"/>
  <c r="AS30" i="29"/>
  <c r="AS47" i="29"/>
  <c r="AH47" i="29"/>
  <c r="AH30" i="29"/>
  <c r="G59" i="30"/>
  <c r="AJ30" i="29"/>
  <c r="AJ47" i="29"/>
  <c r="BG30" i="29"/>
  <c r="BG47" i="29"/>
  <c r="AG30" i="29"/>
  <c r="AG47" i="29"/>
  <c r="AW30" i="29"/>
  <c r="AW47" i="29"/>
  <c r="AX48" i="29" s="1"/>
  <c r="BA30" i="29"/>
  <c r="BA47" i="29"/>
  <c r="BB47" i="29"/>
  <c r="BB30" i="29"/>
  <c r="C30" i="29"/>
  <c r="G9" i="30" s="1"/>
  <c r="C47" i="29"/>
  <c r="H9" i="30" s="1"/>
  <c r="N47" i="29"/>
  <c r="N30" i="29"/>
  <c r="Y30" i="29"/>
  <c r="Y47" i="29"/>
  <c r="R47" i="29"/>
  <c r="R30" i="29"/>
  <c r="G30" i="29"/>
  <c r="G47" i="29"/>
  <c r="P30" i="29"/>
  <c r="P47" i="29"/>
  <c r="G53" i="17"/>
  <c r="G31" i="17"/>
  <c r="G32" i="17"/>
  <c r="AN30" i="29"/>
  <c r="AN47" i="29"/>
  <c r="H59" i="30"/>
  <c r="AM30" i="29"/>
  <c r="AM47" i="29"/>
  <c r="AB30" i="29"/>
  <c r="AB47" i="29"/>
  <c r="U30" i="29"/>
  <c r="U47" i="29"/>
  <c r="T30" i="29"/>
  <c r="T47" i="29"/>
  <c r="V47" i="29"/>
  <c r="V30" i="29"/>
  <c r="M30" i="29"/>
  <c r="M47" i="29"/>
  <c r="H30" i="29"/>
  <c r="H47" i="29"/>
  <c r="AA30" i="29"/>
  <c r="AA47" i="29"/>
  <c r="AQ30" i="29"/>
  <c r="AQ47" i="29"/>
  <c r="AZ30" i="29"/>
  <c r="AZ47" i="29"/>
  <c r="G24" i="17"/>
  <c r="G30" i="17"/>
  <c r="H9" i="17"/>
  <c r="G9" i="17"/>
  <c r="AP47" i="29"/>
  <c r="AP30" i="29"/>
  <c r="AR30" i="29"/>
  <c r="AR47" i="29"/>
  <c r="AO30" i="29"/>
  <c r="AO47" i="29"/>
  <c r="BC30" i="29"/>
  <c r="BC47" i="29"/>
  <c r="I30" i="29"/>
  <c r="I47" i="29"/>
  <c r="AD47" i="29"/>
  <c r="AD30" i="29"/>
  <c r="BE30" i="29"/>
  <c r="BE47" i="29"/>
  <c r="BF47" i="29"/>
  <c r="BF30" i="29"/>
  <c r="S30" i="29"/>
  <c r="S47" i="29"/>
  <c r="E30" i="29"/>
  <c r="E47" i="29"/>
  <c r="L30" i="29"/>
  <c r="L47" i="29"/>
  <c r="J47" i="29"/>
  <c r="J30" i="29"/>
  <c r="W30" i="29"/>
  <c r="W47" i="29"/>
  <c r="F47" i="29"/>
  <c r="F30" i="29"/>
  <c r="Q30" i="29"/>
  <c r="Q47" i="29"/>
  <c r="G28" i="17"/>
  <c r="AF30" i="29"/>
  <c r="AF47" i="29"/>
  <c r="AV30" i="29"/>
  <c r="AV47" i="29"/>
  <c r="AK30" i="29"/>
  <c r="AK47" i="29"/>
  <c r="Z47" i="29"/>
  <c r="Z30" i="29"/>
  <c r="AE30" i="29"/>
  <c r="AE47" i="29"/>
  <c r="AU30" i="29"/>
  <c r="AU47" i="29"/>
  <c r="G70" i="17"/>
  <c r="K71" i="17" s="1"/>
  <c r="G62" i="17"/>
  <c r="G68" i="17" l="1"/>
  <c r="H63" i="17"/>
  <c r="H66" i="17"/>
  <c r="H74" i="17"/>
  <c r="G72" i="17"/>
  <c r="K72" i="17" s="1"/>
  <c r="G74" i="17"/>
  <c r="H72" i="17"/>
  <c r="K26" i="17"/>
  <c r="H71" i="17"/>
  <c r="BH31" i="29"/>
  <c r="BH48" i="29"/>
  <c r="G54" i="17"/>
  <c r="K54" i="17" s="1"/>
  <c r="G52" i="17"/>
  <c r="K53" i="17" s="1"/>
  <c r="G57" i="17"/>
  <c r="G39" i="17"/>
  <c r="G41" i="17"/>
  <c r="G36" i="17"/>
  <c r="G44" i="17"/>
  <c r="G63" i="17"/>
  <c r="G66" i="17"/>
  <c r="H70" i="17"/>
  <c r="G42" i="17"/>
  <c r="G65" i="17"/>
  <c r="G45" i="17"/>
  <c r="K46" i="17" s="1"/>
  <c r="G40" i="17"/>
  <c r="G55" i="17"/>
  <c r="H64" i="17"/>
  <c r="G58" i="17"/>
  <c r="G64" i="17"/>
  <c r="H69" i="17"/>
  <c r="K32" i="17"/>
  <c r="G50" i="17"/>
  <c r="G37" i="17"/>
  <c r="G56" i="17"/>
  <c r="H39" i="30"/>
  <c r="AE48" i="29"/>
  <c r="H45" i="30"/>
  <c r="AK48" i="29"/>
  <c r="AF48" i="29"/>
  <c r="H40" i="30"/>
  <c r="G18" i="17"/>
  <c r="G10" i="17"/>
  <c r="K10" i="17" s="1"/>
  <c r="G38" i="17"/>
  <c r="G12" i="30"/>
  <c r="F31" i="29"/>
  <c r="J31" i="29"/>
  <c r="G16" i="30"/>
  <c r="H11" i="30"/>
  <c r="E48" i="29"/>
  <c r="BF31" i="29"/>
  <c r="G68" i="30"/>
  <c r="G38" i="30"/>
  <c r="AD31" i="29"/>
  <c r="H65" i="30"/>
  <c r="BC48" i="29"/>
  <c r="H53" i="30"/>
  <c r="AR48" i="29"/>
  <c r="H51" i="30"/>
  <c r="AP48" i="29"/>
  <c r="H29" i="17"/>
  <c r="H11" i="17"/>
  <c r="H24" i="17"/>
  <c r="AZ31" i="29"/>
  <c r="G62" i="30"/>
  <c r="AA31" i="29"/>
  <c r="G35" i="30"/>
  <c r="G19" i="30"/>
  <c r="M31" i="29"/>
  <c r="G27" i="30"/>
  <c r="T31" i="29"/>
  <c r="G36" i="30"/>
  <c r="AB31" i="29"/>
  <c r="H57" i="17"/>
  <c r="H39" i="17"/>
  <c r="H43" i="17"/>
  <c r="H32" i="17"/>
  <c r="H15" i="17"/>
  <c r="H14" i="17"/>
  <c r="H68" i="17"/>
  <c r="H41" i="17"/>
  <c r="H36" i="17"/>
  <c r="G13" i="30"/>
  <c r="G31" i="29"/>
  <c r="G32" i="30"/>
  <c r="Y31" i="29"/>
  <c r="BB48" i="29"/>
  <c r="H64" i="30"/>
  <c r="G58" i="30"/>
  <c r="AW31" i="29"/>
  <c r="BG48" i="29"/>
  <c r="H69" i="30"/>
  <c r="K59" i="30"/>
  <c r="AS48" i="29"/>
  <c r="H54" i="30"/>
  <c r="AY48" i="29"/>
  <c r="H61" i="30"/>
  <c r="L61" i="30" s="1"/>
  <c r="G17" i="17"/>
  <c r="G19" i="17"/>
  <c r="H43" i="30"/>
  <c r="AI48" i="29"/>
  <c r="H31" i="30"/>
  <c r="X48" i="29"/>
  <c r="H10" i="30"/>
  <c r="L10" i="30" s="1"/>
  <c r="D48" i="29"/>
  <c r="K48" i="29"/>
  <c r="H17" i="30"/>
  <c r="H42" i="17"/>
  <c r="H37" i="17"/>
  <c r="H56" i="17"/>
  <c r="G39" i="30"/>
  <c r="AE31" i="29"/>
  <c r="G45" i="30"/>
  <c r="AK31" i="29"/>
  <c r="AF31" i="29"/>
  <c r="G40" i="30"/>
  <c r="H46" i="17"/>
  <c r="H18" i="17"/>
  <c r="H10" i="17"/>
  <c r="L10" i="17" s="1"/>
  <c r="H38" i="17"/>
  <c r="H44" i="17"/>
  <c r="H12" i="30"/>
  <c r="F48" i="29"/>
  <c r="H16" i="30"/>
  <c r="J48" i="29"/>
  <c r="G11" i="30"/>
  <c r="E31" i="29"/>
  <c r="H68" i="30"/>
  <c r="BF48" i="29"/>
  <c r="H38" i="30"/>
  <c r="AD48" i="29"/>
  <c r="G65" i="30"/>
  <c r="BC31" i="29"/>
  <c r="G53" i="30"/>
  <c r="AR31" i="29"/>
  <c r="G13" i="17"/>
  <c r="H52" i="30"/>
  <c r="L52" i="30" s="1"/>
  <c r="AQ48" i="29"/>
  <c r="H48" i="29"/>
  <c r="H14" i="30"/>
  <c r="G29" i="30"/>
  <c r="V31" i="29"/>
  <c r="H28" i="30"/>
  <c r="U48" i="29"/>
  <c r="G51" i="17"/>
  <c r="H48" i="30"/>
  <c r="AM48" i="29"/>
  <c r="H49" i="30"/>
  <c r="AN48" i="29"/>
  <c r="K31" i="17"/>
  <c r="G20" i="17"/>
  <c r="G22" i="17"/>
  <c r="H23" i="30"/>
  <c r="P48" i="29"/>
  <c r="G25" i="30"/>
  <c r="R31" i="29"/>
  <c r="N31" i="29"/>
  <c r="G20" i="30"/>
  <c r="K20" i="30" s="1"/>
  <c r="H63" i="30"/>
  <c r="BA48" i="29"/>
  <c r="H41" i="30"/>
  <c r="L41" i="30" s="1"/>
  <c r="AG48" i="29"/>
  <c r="G69" i="30"/>
  <c r="BG31" i="29"/>
  <c r="AX31" i="29"/>
  <c r="AS31" i="29"/>
  <c r="G54" i="30"/>
  <c r="G61" i="30"/>
  <c r="K61" i="30" s="1"/>
  <c r="AY31" i="29"/>
  <c r="H17" i="17"/>
  <c r="H25" i="17"/>
  <c r="H19" i="17"/>
  <c r="G43" i="30"/>
  <c r="AI31" i="29"/>
  <c r="G31" i="30"/>
  <c r="X31" i="29"/>
  <c r="D31" i="29"/>
  <c r="G10" i="30"/>
  <c r="K10" i="30" s="1"/>
  <c r="G17" i="30"/>
  <c r="K17" i="30" s="1"/>
  <c r="K31" i="29"/>
  <c r="G49" i="17"/>
  <c r="H56" i="30"/>
  <c r="AU48" i="29"/>
  <c r="G33" i="30"/>
  <c r="K33" i="30" s="1"/>
  <c r="Z31" i="29"/>
  <c r="H57" i="30"/>
  <c r="L57" i="30" s="1"/>
  <c r="AV48" i="29"/>
  <c r="G12" i="17"/>
  <c r="G27" i="17"/>
  <c r="K27" i="17" s="1"/>
  <c r="Q48" i="29"/>
  <c r="H24" i="30"/>
  <c r="W48" i="29"/>
  <c r="H30" i="30"/>
  <c r="H18" i="30"/>
  <c r="L48" i="29"/>
  <c r="H26" i="30"/>
  <c r="S48" i="29"/>
  <c r="BE48" i="29"/>
  <c r="H67" i="30"/>
  <c r="I48" i="29"/>
  <c r="H15" i="30"/>
  <c r="AO48" i="29"/>
  <c r="H50" i="30"/>
  <c r="H13" i="17"/>
  <c r="H30" i="17"/>
  <c r="G52" i="30"/>
  <c r="AQ31" i="29"/>
  <c r="H31" i="29"/>
  <c r="G14" i="30"/>
  <c r="H29" i="30"/>
  <c r="V48" i="29"/>
  <c r="G28" i="30"/>
  <c r="U31" i="29"/>
  <c r="H51" i="17"/>
  <c r="H45" i="17"/>
  <c r="H40" i="17"/>
  <c r="G48" i="30"/>
  <c r="AM31" i="29"/>
  <c r="G49" i="30"/>
  <c r="AN31" i="29"/>
  <c r="H55" i="17"/>
  <c r="H31" i="17"/>
  <c r="H20" i="17"/>
  <c r="H22" i="17"/>
  <c r="H58" i="17"/>
  <c r="H53" i="17"/>
  <c r="G23" i="30"/>
  <c r="P31" i="29"/>
  <c r="H25" i="30"/>
  <c r="R48" i="29"/>
  <c r="N48" i="29"/>
  <c r="H20" i="30"/>
  <c r="G63" i="30"/>
  <c r="BA31" i="29"/>
  <c r="G41" i="30"/>
  <c r="K41" i="30" s="1"/>
  <c r="AG31" i="29"/>
  <c r="AJ48" i="29"/>
  <c r="H44" i="30"/>
  <c r="AH31" i="29"/>
  <c r="G42" i="30"/>
  <c r="H37" i="30"/>
  <c r="AC48" i="29"/>
  <c r="G23" i="17"/>
  <c r="K24" i="17" s="1"/>
  <c r="G16" i="17"/>
  <c r="G55" i="30"/>
  <c r="K55" i="30" s="1"/>
  <c r="AT31" i="29"/>
  <c r="H22" i="30"/>
  <c r="O48" i="29"/>
  <c r="AL31" i="29"/>
  <c r="G46" i="30"/>
  <c r="H66" i="30"/>
  <c r="BD48" i="29"/>
  <c r="H54" i="17"/>
  <c r="H49" i="17"/>
  <c r="G56" i="30"/>
  <c r="AU31" i="29"/>
  <c r="H33" i="30"/>
  <c r="Z48" i="29"/>
  <c r="G57" i="30"/>
  <c r="K57" i="30" s="1"/>
  <c r="AV31" i="29"/>
  <c r="H52" i="17"/>
  <c r="H12" i="17"/>
  <c r="H27" i="17"/>
  <c r="H28" i="17"/>
  <c r="H50" i="17"/>
  <c r="Q31" i="29"/>
  <c r="G24" i="30"/>
  <c r="G30" i="30"/>
  <c r="W31" i="29"/>
  <c r="G18" i="30"/>
  <c r="L31" i="29"/>
  <c r="G26" i="30"/>
  <c r="K26" i="30" s="1"/>
  <c r="S31" i="29"/>
  <c r="BE31" i="29"/>
  <c r="G67" i="30"/>
  <c r="I31" i="29"/>
  <c r="G15" i="30"/>
  <c r="AO31" i="29"/>
  <c r="G50" i="30"/>
  <c r="AP31" i="29"/>
  <c r="G51" i="30"/>
  <c r="G29" i="17"/>
  <c r="K29" i="17" s="1"/>
  <c r="G11" i="17"/>
  <c r="K25" i="17"/>
  <c r="AZ48" i="29"/>
  <c r="H62" i="30"/>
  <c r="L62" i="30" s="1"/>
  <c r="AA48" i="29"/>
  <c r="H35" i="30"/>
  <c r="H19" i="30"/>
  <c r="M48" i="29"/>
  <c r="T48" i="29"/>
  <c r="H27" i="30"/>
  <c r="H36" i="30"/>
  <c r="AB48" i="29"/>
  <c r="G43" i="17"/>
  <c r="G15" i="17"/>
  <c r="G14" i="17"/>
  <c r="H13" i="30"/>
  <c r="G48" i="29"/>
  <c r="Y48" i="29"/>
  <c r="H32" i="30"/>
  <c r="L32" i="30" s="1"/>
  <c r="BB31" i="29"/>
  <c r="G64" i="30"/>
  <c r="H58" i="30"/>
  <c r="AW48" i="29"/>
  <c r="AJ31" i="29"/>
  <c r="G44" i="30"/>
  <c r="H42" i="30"/>
  <c r="AH48" i="29"/>
  <c r="G37" i="30"/>
  <c r="AC31" i="29"/>
  <c r="H26" i="17"/>
  <c r="H23" i="17"/>
  <c r="H16" i="17"/>
  <c r="H55" i="30"/>
  <c r="AT48" i="29"/>
  <c r="G22" i="30"/>
  <c r="O31" i="29"/>
  <c r="AL48" i="29"/>
  <c r="H46" i="30"/>
  <c r="L46" i="30" s="1"/>
  <c r="G66" i="30"/>
  <c r="BD31" i="29"/>
  <c r="G67" i="17"/>
  <c r="H62" i="17"/>
  <c r="H65" i="17"/>
  <c r="H67" i="17"/>
  <c r="G69" i="17"/>
  <c r="K69" i="17" s="1"/>
  <c r="G59" i="17"/>
  <c r="H59" i="17"/>
  <c r="L64" i="17" l="1"/>
  <c r="L66" i="30"/>
  <c r="K20" i="17"/>
  <c r="K37" i="30"/>
  <c r="L50" i="30"/>
  <c r="L42" i="30"/>
  <c r="K58" i="17"/>
  <c r="K28" i="30"/>
  <c r="L35" i="30"/>
  <c r="L44" i="30"/>
  <c r="K39" i="30"/>
  <c r="K15" i="30"/>
  <c r="L54" i="30"/>
  <c r="K13" i="30"/>
  <c r="L72" i="17"/>
  <c r="G60" i="17"/>
  <c r="K56" i="30"/>
  <c r="L74" i="17"/>
  <c r="K74" i="17"/>
  <c r="G61" i="17"/>
  <c r="L50" i="17"/>
  <c r="K61" i="17"/>
  <c r="K43" i="17"/>
  <c r="K11" i="17"/>
  <c r="L19" i="30"/>
  <c r="K14" i="30"/>
  <c r="K37" i="17"/>
  <c r="L55" i="30"/>
  <c r="L71" i="17"/>
  <c r="L15" i="30"/>
  <c r="K42" i="17"/>
  <c r="K45" i="17"/>
  <c r="K64" i="17"/>
  <c r="K39" i="17"/>
  <c r="L19" i="17"/>
  <c r="L70" i="17"/>
  <c r="L24" i="30"/>
  <c r="K40" i="17"/>
  <c r="K67" i="17"/>
  <c r="K64" i="30"/>
  <c r="K51" i="17"/>
  <c r="L38" i="17"/>
  <c r="L58" i="30"/>
  <c r="K50" i="30"/>
  <c r="K49" i="30"/>
  <c r="K44" i="30"/>
  <c r="K41" i="17"/>
  <c r="K18" i="30"/>
  <c r="K63" i="30"/>
  <c r="K55" i="17"/>
  <c r="K40" i="30"/>
  <c r="K36" i="30"/>
  <c r="K38" i="17"/>
  <c r="L68" i="17"/>
  <c r="K46" i="30"/>
  <c r="L37" i="17"/>
  <c r="L65" i="17"/>
  <c r="K66" i="30"/>
  <c r="L16" i="17"/>
  <c r="L13" i="30"/>
  <c r="K30" i="30"/>
  <c r="K54" i="30"/>
  <c r="L40" i="30"/>
  <c r="K51" i="30"/>
  <c r="K66" i="17"/>
  <c r="K65" i="17"/>
  <c r="L69" i="17"/>
  <c r="L25" i="30"/>
  <c r="L29" i="30"/>
  <c r="K42" i="30"/>
  <c r="K50" i="17"/>
  <c r="L52" i="17"/>
  <c r="L12" i="17"/>
  <c r="L54" i="17"/>
  <c r="L20" i="17"/>
  <c r="K15" i="17"/>
  <c r="L27" i="30"/>
  <c r="K24" i="30"/>
  <c r="K23" i="17"/>
  <c r="L58" i="17"/>
  <c r="L45" i="17"/>
  <c r="L40" i="17"/>
  <c r="K52" i="17"/>
  <c r="K28" i="17"/>
  <c r="L42" i="17"/>
  <c r="L44" i="17"/>
  <c r="K14" i="17"/>
  <c r="K19" i="17"/>
  <c r="L18" i="30"/>
  <c r="L12" i="30"/>
  <c r="L37" i="30"/>
  <c r="L53" i="17"/>
  <c r="L51" i="17"/>
  <c r="K52" i="30"/>
  <c r="L26" i="30"/>
  <c r="L23" i="30"/>
  <c r="L48" i="30"/>
  <c r="L14" i="30"/>
  <c r="K30" i="17"/>
  <c r="K53" i="30"/>
  <c r="L38" i="30"/>
  <c r="K11" i="30"/>
  <c r="L18" i="17"/>
  <c r="K45" i="30"/>
  <c r="L56" i="17"/>
  <c r="L43" i="30"/>
  <c r="L15" i="17"/>
  <c r="K27" i="30"/>
  <c r="L53" i="30"/>
  <c r="K38" i="30"/>
  <c r="L11" i="30"/>
  <c r="K12" i="30"/>
  <c r="L20" i="30"/>
  <c r="L67" i="30"/>
  <c r="K43" i="30"/>
  <c r="L28" i="30"/>
  <c r="K13" i="17"/>
  <c r="L17" i="30"/>
  <c r="K58" i="30"/>
  <c r="K32" i="30"/>
  <c r="L43" i="17"/>
  <c r="L57" i="17"/>
  <c r="K62" i="30"/>
  <c r="L11" i="17"/>
  <c r="K68" i="30"/>
  <c r="K16" i="30"/>
  <c r="K44" i="17"/>
  <c r="L45" i="30"/>
  <c r="K57" i="17"/>
  <c r="K56" i="17"/>
  <c r="L36" i="30"/>
  <c r="L33" i="30"/>
  <c r="K23" i="30"/>
  <c r="L55" i="17"/>
  <c r="K48" i="30"/>
  <c r="L17" i="17"/>
  <c r="K69" i="30"/>
  <c r="K70" i="30"/>
  <c r="L63" i="30"/>
  <c r="K25" i="30"/>
  <c r="L49" i="30"/>
  <c r="K65" i="30"/>
  <c r="L68" i="30"/>
  <c r="L16" i="30"/>
  <c r="L46" i="17"/>
  <c r="L31" i="30"/>
  <c r="L69" i="30"/>
  <c r="L70" i="30"/>
  <c r="L64" i="30"/>
  <c r="L59" i="30"/>
  <c r="K19" i="30"/>
  <c r="L51" i="30"/>
  <c r="L65" i="30"/>
  <c r="K67" i="30"/>
  <c r="K16" i="17"/>
  <c r="L13" i="17"/>
  <c r="L30" i="30"/>
  <c r="K12" i="17"/>
  <c r="L56" i="30"/>
  <c r="K31" i="30"/>
  <c r="K29" i="30"/>
  <c r="K17" i="17"/>
  <c r="L41" i="17"/>
  <c r="L14" i="17"/>
  <c r="L39" i="17"/>
  <c r="K35" i="30"/>
  <c r="K18" i="17"/>
  <c r="L39" i="30"/>
  <c r="K70" i="17"/>
  <c r="L66" i="17"/>
  <c r="K68" i="17"/>
  <c r="L67" i="17"/>
  <c r="K59" i="17"/>
  <c r="L59" i="17"/>
  <c r="L63" i="17"/>
  <c r="K63" i="17"/>
  <c r="H60" i="17" l="1"/>
  <c r="H47" i="17"/>
  <c r="G47" i="17"/>
  <c r="K60" i="17" s="1"/>
  <c r="G48" i="17"/>
  <c r="H48" i="17"/>
  <c r="H61" i="17"/>
  <c r="G21" i="17"/>
  <c r="K21" i="17" s="1"/>
  <c r="G34" i="17"/>
  <c r="H34" i="17"/>
  <c r="H21" i="17"/>
  <c r="L21" i="17" s="1"/>
  <c r="G35" i="17"/>
  <c r="K36" i="17" s="1"/>
  <c r="H35" i="17"/>
  <c r="L36" i="17" s="1"/>
  <c r="G33" i="17"/>
  <c r="H33" i="17"/>
  <c r="K62" i="17"/>
  <c r="L60" i="17" l="1"/>
  <c r="L62" i="17"/>
  <c r="L61" i="17"/>
  <c r="K48" i="17"/>
  <c r="K49" i="17"/>
  <c r="L49" i="17"/>
  <c r="L48" i="17"/>
  <c r="K34" i="17"/>
  <c r="K47" i="17"/>
  <c r="L34" i="17"/>
  <c r="L47" i="17"/>
  <c r="L35" i="17"/>
  <c r="L33" i="17"/>
  <c r="K33" i="17"/>
  <c r="K35" i="17"/>
  <c r="L30" i="17"/>
  <c r="L28" i="17"/>
  <c r="L26" i="17"/>
  <c r="L23" i="17" l="1"/>
  <c r="L27" i="17"/>
  <c r="L24" i="17"/>
  <c r="L31" i="17"/>
  <c r="L32" i="17"/>
  <c r="L29" i="17"/>
  <c r="L25" i="17"/>
</calcChain>
</file>

<file path=xl/comments1.xml><?xml version="1.0" encoding="utf-8"?>
<comments xmlns="http://schemas.openxmlformats.org/spreadsheetml/2006/main">
  <authors>
    <author>Nádia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 xml:space="preserve">refletem a importância relativa de cada parceiro nas trocas comerciais. 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 xml:space="preserve">2000-2012 - Taxa média de cambio do último dia do ano. 
A partir de 2013 -  Taxa média mensal ou anual 
</t>
        </r>
      </text>
    </comment>
  </commentList>
</comments>
</file>

<file path=xl/sharedStrings.xml><?xml version="1.0" encoding="utf-8"?>
<sst xmlns="http://schemas.openxmlformats.org/spreadsheetml/2006/main" count="362" uniqueCount="126">
  <si>
    <t>China</t>
  </si>
  <si>
    <t>Espanha</t>
  </si>
  <si>
    <t>Portugal</t>
  </si>
  <si>
    <t xml:space="preserve">Total </t>
  </si>
  <si>
    <t xml:space="preserve">Angola  </t>
  </si>
  <si>
    <t xml:space="preserve">Bélgica </t>
  </si>
  <si>
    <t xml:space="preserve">Portugal </t>
  </si>
  <si>
    <t>BALANÇA COMERCIAL DE STP</t>
  </si>
  <si>
    <t xml:space="preserve">Taxa de câmbio (TC) </t>
  </si>
  <si>
    <t>DBS/EURO</t>
  </si>
  <si>
    <t>Variação da Taxa de Cambio Efetiva Nominal (%)</t>
  </si>
  <si>
    <t>STP</t>
  </si>
  <si>
    <t xml:space="preserve">Taxa de Cambio Efetiva Real </t>
  </si>
  <si>
    <t xml:space="preserve">Saldo da Balança Comercial </t>
  </si>
  <si>
    <t xml:space="preserve">Holanda </t>
  </si>
  <si>
    <t>Holanda</t>
  </si>
  <si>
    <t xml:space="preserve">Taxa de Cambio Efetiva Nominal </t>
  </si>
  <si>
    <t>DBS/Kz</t>
  </si>
  <si>
    <t>KZ/EURO</t>
  </si>
  <si>
    <t>Representatividade</t>
  </si>
  <si>
    <t>EURO/DBS</t>
  </si>
  <si>
    <t xml:space="preserve">KZ/DBS </t>
  </si>
  <si>
    <t>Cotação ao certo  da taxa de Câmbio</t>
  </si>
  <si>
    <t>Saldo Comercial/Ponderadores</t>
  </si>
  <si>
    <t xml:space="preserve">Deflator </t>
  </si>
  <si>
    <t>STD/EUR</t>
  </si>
  <si>
    <t>STD/USD</t>
  </si>
  <si>
    <t>Variação face ao período precedente, em %</t>
  </si>
  <si>
    <t>2001- 2005</t>
  </si>
  <si>
    <t>2006-2010</t>
  </si>
  <si>
    <t xml:space="preserve">Ponderadores </t>
  </si>
  <si>
    <t>2011-2015</t>
  </si>
  <si>
    <t>Fonte: Banco Central de São Tomé e Príncipe</t>
  </si>
  <si>
    <t>ITCEN1</t>
  </si>
  <si>
    <t>ITCER1</t>
  </si>
  <si>
    <t>ITCER2</t>
  </si>
  <si>
    <t xml:space="preserve">              (2)  Um aumento/diminuição do ITCE (nominal ou real) corresponde a uma apreciação/depreciação da Dobra</t>
  </si>
  <si>
    <t>Taxa de Câmbio Efetiva Nominal e Real  (taxas médias - anuais e mensais)</t>
  </si>
  <si>
    <t>Ano-14</t>
  </si>
  <si>
    <t>2011 a 2015</t>
  </si>
  <si>
    <t xml:space="preserve">China  </t>
  </si>
  <si>
    <t xml:space="preserve">China </t>
  </si>
  <si>
    <t>Indice de preço do consumidor  (Base: Dez2015)</t>
  </si>
  <si>
    <t>Índice de taxa de Câmbio Bilateral - Base Dez 2015</t>
  </si>
  <si>
    <t xml:space="preserve"> </t>
  </si>
  <si>
    <t>BANCO CENTRAL DE S.TOMÉ E PRÍNCIPE</t>
  </si>
  <si>
    <t>Balança Comercial Geográfica</t>
  </si>
  <si>
    <t>( Em mil  dólares)</t>
  </si>
  <si>
    <t>Importação</t>
  </si>
  <si>
    <t>ANO-00</t>
  </si>
  <si>
    <t>ANO-01</t>
  </si>
  <si>
    <t>ANO-02</t>
  </si>
  <si>
    <t>ANO-03</t>
  </si>
  <si>
    <t>ANO-04</t>
  </si>
  <si>
    <t>ANO-05</t>
  </si>
  <si>
    <t>ANO-06</t>
  </si>
  <si>
    <t>ANO-07</t>
  </si>
  <si>
    <t>ANO-08</t>
  </si>
  <si>
    <t>ANO-09</t>
  </si>
  <si>
    <t>ANO-10</t>
  </si>
  <si>
    <t>ANO-11</t>
  </si>
  <si>
    <t>ANO-12</t>
  </si>
  <si>
    <t>ANO-13</t>
  </si>
  <si>
    <t>Ano-15</t>
  </si>
  <si>
    <t>Africa do Sul</t>
  </si>
  <si>
    <t>Angola</t>
  </si>
  <si>
    <t>Bahamas</t>
  </si>
  <si>
    <t>Brasil</t>
  </si>
  <si>
    <t>Bélgica</t>
  </si>
  <si>
    <t>Coreia</t>
  </si>
  <si>
    <t>E. U. América</t>
  </si>
  <si>
    <t>França</t>
  </si>
  <si>
    <t>Gabão</t>
  </si>
  <si>
    <t>Indonésia</t>
  </si>
  <si>
    <t>Itália</t>
  </si>
  <si>
    <t>Japão</t>
  </si>
  <si>
    <t>Nigéria</t>
  </si>
  <si>
    <t>Togo</t>
  </si>
  <si>
    <t>Rep. Fed. Alemã</t>
  </si>
  <si>
    <t>Suécia</t>
  </si>
  <si>
    <t>Suíça</t>
  </si>
  <si>
    <t>Taiwan</t>
  </si>
  <si>
    <t>Vietname</t>
  </si>
  <si>
    <t>Tailândia</t>
  </si>
  <si>
    <t>Emirados A. U.</t>
  </si>
  <si>
    <t>Dinamarca</t>
  </si>
  <si>
    <t>Camarões</t>
  </si>
  <si>
    <t>Outros Países</t>
  </si>
  <si>
    <t>T O T A L</t>
  </si>
  <si>
    <t>Exportação</t>
  </si>
  <si>
    <t>África do Sul</t>
  </si>
  <si>
    <t>Saldo</t>
  </si>
  <si>
    <t>Países Baixos</t>
  </si>
  <si>
    <t>SALDO  DA  BALANÇA COMERCIAL</t>
  </si>
  <si>
    <t xml:space="preserve">Volume de Transação </t>
  </si>
  <si>
    <t>ANO-14</t>
  </si>
  <si>
    <t>ANO-15</t>
  </si>
  <si>
    <t xml:space="preserve">Notas:   (1)  Índice da taxa de câmbio efetiva (ITCE, nominal e real; base Dez 2014=100), calculado a partir das taxas de câmbio oficiais praticadas para as moedas dos seis maiores parceiros comerciais no período 2010/15 </t>
  </si>
  <si>
    <t>B+P+H</t>
  </si>
  <si>
    <t>ITCEN2</t>
  </si>
  <si>
    <t xml:space="preserve">Notas:   (1)  Índice da taxa de câmbio efetiva (ITCE, nominal e real; base 100: 2001), calculado a partir das taxas de câmbio oficiais praticadas para as moedas dos quatro maiores parceiros comerciais no período 2006/10   </t>
  </si>
  <si>
    <t>Notas:   (1)  Índice da taxa de câmbio efetiva (ITCE, nominal e real; base Dez 2014=100), calculado a partir das taxas de câmbio oficiais praticadas para as moedas dos seis maiores parceiros comerciais no período 2006/10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</si>
  <si>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</si>
  <si>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</si>
  <si>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</si>
  <si>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</si>
  <si>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</si>
  <si>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</si>
  <si>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</si>
  <si>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</si>
  <si>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</si>
  <si>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</si>
  <si>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</si>
  <si>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</si>
  <si>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Índice de Taxa de Cambio Efetiva Nominal </t>
  </si>
  <si>
    <t xml:space="preserve">Variação face ao período precedente (%) </t>
  </si>
  <si>
    <t>Índice de Taxa de Cambio Efetiva Real</t>
  </si>
  <si>
    <t>Variação face ao período precedente (%)</t>
  </si>
  <si>
    <t xml:space="preserve">Notas:   </t>
  </si>
  <si>
    <t xml:space="preserve">(1)  Índice calculado a partir das taxas de câmbio oficiais praticadas para as moedas dos seis maiores parceiros comerciais, nomeadamente: Portugal, Angola, Bélgica, Países Baixos, Espanha e China  no período 2010/15 </t>
  </si>
  <si>
    <t xml:space="preserve">  Base Dez 2014= 100</t>
  </si>
  <si>
    <t>(2)  Um aumento/diminuição do ITCN corresponde a uma apreciação/depreciação da Dobra</t>
  </si>
  <si>
    <t>(3)  Um aumento/diminuição do ITCR corresponde a uma degradação/melhoria da nossa competitividade preço</t>
  </si>
  <si>
    <t xml:space="preserve">                  INDICE DE PREÇO AO CONSUMIDOR (Base Dez 2014=100)</t>
  </si>
  <si>
    <r>
      <rPr>
        <b/>
        <sz val="8"/>
        <color theme="1"/>
        <rFont val="Arial"/>
        <family val="2"/>
      </rPr>
      <t>Fonte :</t>
    </r>
    <r>
      <rPr>
        <sz val="8"/>
        <color theme="1"/>
        <rFont val="Arial"/>
        <family val="2"/>
      </rPr>
      <t xml:space="preserve"> Banco Central de São Tomé e Príncipe</t>
    </r>
  </si>
  <si>
    <t xml:space="preserve">                        Índice de Taxa de Câmbio Efetiva Nominal e Real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</si>
</sst>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#,##0\ &quot;€&quot;;[Red]\-#,##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E_s_c_._-;\-* #,##0.00\ _E_s_c_._-;_-* &quot;-&quot;??\ _E_s_c_._-;_-@_-"/>
    <numFmt numFmtId="165" formatCode="0.0"/>
    <numFmt numFmtId="166" formatCode="0.000"/>
    <numFmt numFmtId="167" formatCode="0.00000"/>
    <numFmt numFmtId="168" formatCode="_-* #,##0.0\ _€_-;\-* #,##0.0\ _€_-;_-* &quot;-&quot;??\ _€_-;_-@_-"/>
    <numFmt numFmtId="169" formatCode="#,##0.000_);\(#,##0.000\)"/>
    <numFmt numFmtId="170" formatCode="[$-409]mmm\-yy;@"/>
    <numFmt numFmtId="171" formatCode="_([$€]* #,##0.00_);_([$€]* \(#,##0.00\);_([$€]* &quot;-&quot;??_);_(@_)"/>
    <numFmt numFmtId="172" formatCode="0.000000"/>
    <numFmt numFmtId="173" formatCode="#,##0.000000"/>
    <numFmt numFmtId="174" formatCode="_-* #,##0.0\ _E_s_c_._-;\-* #,##0.0\ _E_s_c_._-;_-* &quot;-&quot;?\ _E_s_c_._-;_-@_-"/>
    <numFmt numFmtId="175" formatCode="[$-816]mmm/yy;@"/>
    <numFmt numFmtId="176" formatCode="&quot;£&quot;#,##0;[Red]\-&quot;£&quot;#,##0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0_);_(* \(#,##0.00\);_(* &quot;-&quot;??_);_(@_)"/>
    <numFmt numFmtId="181" formatCode="[$-816]dd/mmm/yy;@"/>
  </numFmts>
  <fonts count="9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8"/>
      <color indexed="12"/>
      <name val="Century Gothic"/>
      <family val="2"/>
    </font>
    <font>
      <b/>
      <sz val="8"/>
      <color rgb="FFFF0000"/>
      <name val="Century Gothic"/>
      <family val="2"/>
    </font>
    <font>
      <sz val="8"/>
      <color rgb="FFFF0000"/>
      <name val="Century Gothic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0"/>
      <name val="Times New Roman"/>
      <family val="1"/>
    </font>
    <font>
      <b/>
      <i/>
      <sz val="14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1"/>
      <name val="Cambria"/>
      <family val="1"/>
      <scheme val="major"/>
    </font>
    <font>
      <sz val="12"/>
      <name val="Cambria"/>
      <family val="1"/>
      <scheme val="major"/>
    </font>
    <font>
      <i/>
      <sz val="11"/>
      <name val="Cambria"/>
      <family val="1"/>
      <scheme val="maj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Helv"/>
    </font>
    <font>
      <b/>
      <sz val="9"/>
      <name val="Arial"/>
      <family val="2"/>
    </font>
    <font>
      <sz val="9"/>
      <name val="Arial"/>
      <family val="2"/>
    </font>
    <font>
      <i/>
      <sz val="8"/>
      <color theme="1"/>
      <name val="Arial"/>
      <family val="2"/>
    </font>
    <font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indexed="22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CB9B51"/>
      <name val="Arial"/>
      <family val="2"/>
    </font>
    <font>
      <b/>
      <i/>
      <sz val="9"/>
      <color theme="0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B9B5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15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/>
    <xf numFmtId="169" fontId="31" fillId="0" borderId="0"/>
    <xf numFmtId="43" fontId="3" fillId="0" borderId="0" applyFont="0" applyFill="0" applyBorder="0" applyAlignment="0" applyProtection="0"/>
    <xf numFmtId="169" fontId="31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169" fontId="31" fillId="0" borderId="0"/>
    <xf numFmtId="169" fontId="31" fillId="0" borderId="0"/>
    <xf numFmtId="0" fontId="3" fillId="0" borderId="0"/>
    <xf numFmtId="0" fontId="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0" fontId="1" fillId="0" borderId="0"/>
    <xf numFmtId="0" fontId="1" fillId="0" borderId="0"/>
    <xf numFmtId="169" fontId="31" fillId="0" borderId="0"/>
    <xf numFmtId="169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14" applyNumberFormat="0" applyAlignment="0" applyProtection="0"/>
    <xf numFmtId="0" fontId="44" fillId="13" borderId="15" applyNumberFormat="0" applyAlignment="0" applyProtection="0"/>
    <xf numFmtId="0" fontId="45" fillId="13" borderId="14" applyNumberFormat="0" applyAlignment="0" applyProtection="0"/>
    <xf numFmtId="0" fontId="46" fillId="0" borderId="16" applyNumberFormat="0" applyFill="0" applyAlignment="0" applyProtection="0"/>
    <xf numFmtId="0" fontId="47" fillId="14" borderId="17" applyNumberFormat="0" applyAlignment="0" applyProtection="0"/>
    <xf numFmtId="0" fontId="2" fillId="0" borderId="0" applyNumberFormat="0" applyFill="0" applyBorder="0" applyAlignment="0" applyProtection="0"/>
    <xf numFmtId="0" fontId="1" fillId="15" borderId="18" applyNumberFormat="0" applyFont="0" applyAlignment="0" applyProtection="0"/>
    <xf numFmtId="0" fontId="48" fillId="0" borderId="0" applyNumberFormat="0" applyFill="0" applyBorder="0" applyAlignment="0" applyProtection="0"/>
    <xf numFmtId="0" fontId="15" fillId="0" borderId="19" applyNumberFormat="0" applyFill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9" fillId="39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7" fillId="0" borderId="0"/>
    <xf numFmtId="0" fontId="3" fillId="0" borderId="0"/>
    <xf numFmtId="0" fontId="58" fillId="0" borderId="0"/>
    <xf numFmtId="0" fontId="59" fillId="0" borderId="0"/>
    <xf numFmtId="0" fontId="60" fillId="0" borderId="0"/>
    <xf numFmtId="0" fontId="61" fillId="0" borderId="0"/>
    <xf numFmtId="0" fontId="62" fillId="0" borderId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46" borderId="0" applyNumberFormat="0" applyBorder="0" applyAlignment="0" applyProtection="0"/>
    <xf numFmtId="0" fontId="64" fillId="49" borderId="0" applyNumberFormat="0" applyBorder="0" applyAlignment="0" applyProtection="0"/>
    <xf numFmtId="0" fontId="64" fillId="52" borderId="0" applyNumberFormat="0" applyBorder="0" applyAlignment="0" applyProtection="0"/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46" borderId="0" applyNumberFormat="0" applyBorder="0" applyAlignment="0" applyProtection="0"/>
    <xf numFmtId="0" fontId="64" fillId="49" borderId="0" applyNumberFormat="0" applyBorder="0" applyAlignment="0" applyProtection="0"/>
    <xf numFmtId="0" fontId="64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0" borderId="0" applyNumberFormat="0" applyBorder="0" applyAlignment="0" applyProtection="0"/>
    <xf numFmtId="0" fontId="65" fillId="51" borderId="0" applyNumberFormat="0" applyBorder="0" applyAlignment="0" applyProtection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0" borderId="0" applyNumberFormat="0" applyBorder="0" applyAlignment="0" applyProtection="0"/>
    <xf numFmtId="0" fontId="65" fillId="51" borderId="0" applyNumberFormat="0" applyBorder="0" applyAlignment="0" applyProtection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65" fillId="56" borderId="0" applyNumberFormat="0" applyBorder="0" applyAlignment="0" applyProtection="0"/>
    <xf numFmtId="0" fontId="71" fillId="45" borderId="0" applyNumberFormat="0" applyBorder="0" applyAlignment="0" applyProtection="0"/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57" borderId="27" applyNumberFormat="0" applyAlignment="0" applyProtection="0"/>
    <xf numFmtId="0" fontId="80" fillId="58" borderId="28" applyNumberFormat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5" fillId="59" borderId="0" applyNumberFormat="0" applyBorder="0" applyAlignment="0" applyProtection="0"/>
    <xf numFmtId="0" fontId="65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65" fillId="62" borderId="0" applyNumberFormat="0" applyBorder="0" applyAlignment="0" applyProtection="0"/>
    <xf numFmtId="0" fontId="71" fillId="45" borderId="0" applyNumberFormat="0" applyBorder="0" applyAlignment="0" applyProtection="0"/>
    <xf numFmtId="0" fontId="65" fillId="59" borderId="0" applyNumberFormat="0" applyBorder="0" applyAlignment="0" applyProtection="0"/>
    <xf numFmtId="0" fontId="65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65" fillId="62" borderId="0" applyNumberFormat="0" applyBorder="0" applyAlignment="0" applyProtection="0"/>
    <xf numFmtId="0" fontId="72" fillId="48" borderId="27" applyNumberFormat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81" fontId="63" fillId="0" borderId="0" applyNumberFormat="0" applyFill="0" applyBorder="0" applyAlignment="0" applyProtection="0">
      <alignment vertical="top"/>
      <protection locked="0"/>
    </xf>
    <xf numFmtId="0" fontId="73" fillId="44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8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3" fillId="0" borderId="0"/>
    <xf numFmtId="181" fontId="3" fillId="0" borderId="0"/>
    <xf numFmtId="0" fontId="1" fillId="0" borderId="0"/>
    <xf numFmtId="0" fontId="1" fillId="0" borderId="0"/>
    <xf numFmtId="181" fontId="3" fillId="0" borderId="0"/>
    <xf numFmtId="0" fontId="1" fillId="0" borderId="0"/>
    <xf numFmtId="181" fontId="3" fillId="0" borderId="0"/>
    <xf numFmtId="181" fontId="3" fillId="0" borderId="0"/>
    <xf numFmtId="44" fontId="3" fillId="0" borderId="0"/>
    <xf numFmtId="6" fontId="3" fillId="0" borderId="0"/>
    <xf numFmtId="176" fontId="3" fillId="0" borderId="0"/>
    <xf numFmtId="178" fontId="3" fillId="0" borderId="0"/>
    <xf numFmtId="181" fontId="3" fillId="0" borderId="0"/>
    <xf numFmtId="18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81" fontId="3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3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41" fontId="3" fillId="0" borderId="0"/>
    <xf numFmtId="177" fontId="3" fillId="0" borderId="0"/>
    <xf numFmtId="0" fontId="3" fillId="0" borderId="0"/>
    <xf numFmtId="0" fontId="1" fillId="0" borderId="0"/>
    <xf numFmtId="18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64" borderId="30" applyNumberFormat="0" applyFont="0" applyAlignment="0" applyProtection="0"/>
    <xf numFmtId="0" fontId="3" fillId="64" borderId="30" applyNumberFormat="0" applyFont="0" applyAlignment="0" applyProtection="0"/>
    <xf numFmtId="9" fontId="6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5" fillId="57" borderId="31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78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79" fillId="0" borderId="32" applyNumberFormat="0" applyFill="0" applyAlignment="0" applyProtection="0"/>
    <xf numFmtId="0" fontId="80" fillId="58" borderId="28" applyNumberFormat="0" applyAlignment="0" applyProtection="0"/>
    <xf numFmtId="43" fontId="62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81" fillId="0" borderId="0"/>
    <xf numFmtId="0" fontId="82" fillId="0" borderId="0"/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</cellStyleXfs>
  <cellXfs count="252">
    <xf numFmtId="0" fontId="0" fillId="0" borderId="0" xfId="0"/>
    <xf numFmtId="165" fontId="0" fillId="0" borderId="0" xfId="0" applyNumberFormat="1"/>
    <xf numFmtId="0" fontId="0" fillId="0" borderId="0" xfId="0" applyFill="1"/>
    <xf numFmtId="165" fontId="0" fillId="0" borderId="0" xfId="0" applyNumberFormat="1" applyFill="1" applyBorder="1"/>
    <xf numFmtId="165" fontId="0" fillId="0" borderId="0" xfId="0" applyNumberForma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10" fillId="0" borderId="0" xfId="0" applyFont="1" applyFill="1"/>
    <xf numFmtId="0" fontId="0" fillId="0" borderId="0" xfId="0" applyFill="1" applyAlignment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2" fontId="8" fillId="0" borderId="0" xfId="0" applyNumberFormat="1" applyFont="1" applyFill="1" applyAlignment="1">
      <alignment horizontal="right"/>
    </xf>
    <xf numFmtId="1" fontId="12" fillId="0" borderId="0" xfId="1" applyNumberFormat="1" applyFont="1" applyFill="1" applyBorder="1" applyAlignment="1">
      <alignment horizontal="right"/>
    </xf>
    <xf numFmtId="17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17" fontId="10" fillId="0" borderId="0" xfId="0" applyNumberFormat="1" applyFont="1" applyFill="1" applyBorder="1" applyAlignment="1">
      <alignment horizontal="center"/>
    </xf>
    <xf numFmtId="0" fontId="16" fillId="0" borderId="0" xfId="5" applyFont="1" applyFill="1" applyBorder="1" applyAlignment="1">
      <alignment horizontal="center"/>
    </xf>
    <xf numFmtId="0" fontId="17" fillId="0" borderId="0" xfId="6" applyFont="1" applyFill="1" applyBorder="1" applyAlignment="1">
      <alignment horizontal="right"/>
    </xf>
    <xf numFmtId="167" fontId="8" fillId="0" borderId="0" xfId="0" applyNumberFormat="1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13" fillId="0" borderId="0" xfId="0" applyFont="1" applyFill="1"/>
    <xf numFmtId="0" fontId="3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17" fillId="0" borderId="6" xfId="6" applyFont="1" applyFill="1" applyBorder="1" applyAlignment="1">
      <alignment horizontal="right"/>
    </xf>
    <xf numFmtId="4" fontId="10" fillId="0" borderId="0" xfId="0" applyNumberFormat="1" applyFont="1" applyFill="1" applyAlignment="1">
      <alignment horizontal="center"/>
    </xf>
    <xf numFmtId="0" fontId="30" fillId="0" borderId="0" xfId="27"/>
    <xf numFmtId="0" fontId="30" fillId="0" borderId="2" xfId="27" applyFill="1" applyBorder="1"/>
    <xf numFmtId="0" fontId="16" fillId="0" borderId="3" xfId="5" applyFont="1" applyFill="1" applyBorder="1" applyAlignment="1">
      <alignment horizontal="center"/>
    </xf>
    <xf numFmtId="0" fontId="17" fillId="0" borderId="3" xfId="28" applyNumberFormat="1" applyFont="1" applyFill="1" applyBorder="1"/>
    <xf numFmtId="2" fontId="21" fillId="0" borderId="3" xfId="28" applyNumberFormat="1" applyFont="1" applyFill="1" applyBorder="1" applyAlignment="1">
      <alignment horizontal="right"/>
    </xf>
    <xf numFmtId="2" fontId="21" fillId="0" borderId="4" xfId="28" applyNumberFormat="1" applyFont="1" applyFill="1" applyBorder="1" applyAlignment="1">
      <alignment horizontal="right"/>
    </xf>
    <xf numFmtId="0" fontId="20" fillId="0" borderId="5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/>
    </xf>
    <xf numFmtId="0" fontId="17" fillId="0" borderId="0" xfId="28" applyNumberFormat="1" applyFont="1" applyFill="1" applyBorder="1"/>
    <xf numFmtId="2" fontId="21" fillId="0" borderId="0" xfId="28" applyNumberFormat="1" applyFont="1" applyFill="1" applyBorder="1" applyAlignment="1">
      <alignment horizontal="right"/>
    </xf>
    <xf numFmtId="2" fontId="21" fillId="0" borderId="6" xfId="28" applyNumberFormat="1" applyFont="1" applyFill="1" applyBorder="1" applyAlignment="1">
      <alignment horizontal="right"/>
    </xf>
    <xf numFmtId="0" fontId="20" fillId="0" borderId="8" xfId="5" applyFont="1" applyFill="1" applyBorder="1" applyAlignment="1">
      <alignment horizontal="left"/>
    </xf>
    <xf numFmtId="0" fontId="16" fillId="0" borderId="9" xfId="5" applyFont="1" applyFill="1" applyBorder="1" applyAlignment="1">
      <alignment horizontal="center"/>
    </xf>
    <xf numFmtId="0" fontId="17" fillId="0" borderId="9" xfId="28" applyNumberFormat="1" applyFont="1" applyFill="1" applyBorder="1"/>
    <xf numFmtId="0" fontId="30" fillId="0" borderId="9" xfId="27" applyFill="1" applyBorder="1"/>
    <xf numFmtId="0" fontId="30" fillId="0" borderId="10" xfId="27" applyFill="1" applyBorder="1"/>
    <xf numFmtId="0" fontId="16" fillId="8" borderId="5" xfId="5" applyFont="1" applyFill="1" applyBorder="1" applyAlignment="1">
      <alignment horizontal="center"/>
    </xf>
    <xf numFmtId="0" fontId="16" fillId="8" borderId="0" xfId="5" applyFont="1" applyFill="1" applyBorder="1" applyAlignment="1">
      <alignment horizontal="center"/>
    </xf>
    <xf numFmtId="0" fontId="30" fillId="0" borderId="0" xfId="27" applyFill="1" applyBorder="1"/>
    <xf numFmtId="0" fontId="30" fillId="0" borderId="6" xfId="27" applyFill="1" applyBorder="1"/>
    <xf numFmtId="0" fontId="22" fillId="0" borderId="0" xfId="28" applyNumberFormat="1" applyFont="1" applyFill="1" applyBorder="1" applyAlignment="1">
      <alignment horizontal="right"/>
    </xf>
    <xf numFmtId="0" fontId="23" fillId="0" borderId="0" xfId="28" applyNumberFormat="1" applyFont="1" applyFill="1" applyBorder="1" applyAlignment="1">
      <alignment horizontal="right"/>
    </xf>
    <xf numFmtId="0" fontId="23" fillId="0" borderId="6" xfId="28" applyNumberFormat="1" applyFont="1" applyFill="1" applyBorder="1" applyAlignment="1">
      <alignment horizontal="right"/>
    </xf>
    <xf numFmtId="4" fontId="33" fillId="0" borderId="0" xfId="29" quotePrefix="1" applyNumberFormat="1" applyFont="1" applyFill="1" applyBorder="1" applyAlignment="1">
      <alignment horizontal="center"/>
    </xf>
    <xf numFmtId="4" fontId="33" fillId="0" borderId="0" xfId="30" applyNumberFormat="1" applyFont="1" applyFill="1" applyBorder="1" applyAlignment="1">
      <alignment horizontal="center"/>
    </xf>
    <xf numFmtId="4" fontId="33" fillId="0" borderId="6" xfId="30" applyNumberFormat="1" applyFont="1" applyFill="1" applyBorder="1" applyAlignment="1">
      <alignment horizontal="center"/>
    </xf>
    <xf numFmtId="4" fontId="33" fillId="0" borderId="0" xfId="28" quotePrefix="1" applyNumberFormat="1" applyFont="1" applyFill="1" applyBorder="1" applyAlignment="1">
      <alignment horizontal="center"/>
    </xf>
    <xf numFmtId="0" fontId="24" fillId="8" borderId="5" xfId="27" applyFont="1" applyFill="1" applyBorder="1" applyAlignment="1">
      <alignment horizontal="center"/>
    </xf>
    <xf numFmtId="0" fontId="32" fillId="8" borderId="5" xfId="27" applyFont="1" applyFill="1" applyBorder="1" applyAlignment="1">
      <alignment horizontal="center"/>
    </xf>
    <xf numFmtId="0" fontId="24" fillId="8" borderId="0" xfId="27" applyFont="1" applyFill="1" applyBorder="1" applyAlignment="1"/>
    <xf numFmtId="168" fontId="24" fillId="0" borderId="0" xfId="29" applyNumberFormat="1" applyFont="1" applyFill="1" applyBorder="1" applyAlignment="1"/>
    <xf numFmtId="168" fontId="18" fillId="0" borderId="0" xfId="29" quotePrefix="1" applyNumberFormat="1" applyFont="1" applyFill="1" applyBorder="1" applyAlignment="1">
      <alignment horizontal="center"/>
    </xf>
    <xf numFmtId="4" fontId="18" fillId="0" borderId="0" xfId="28" quotePrefix="1" applyNumberFormat="1" applyFont="1" applyFill="1" applyBorder="1" applyAlignment="1">
      <alignment horizontal="center"/>
    </xf>
    <xf numFmtId="4" fontId="33" fillId="0" borderId="9" xfId="29" quotePrefix="1" applyNumberFormat="1" applyFont="1" applyFill="1" applyBorder="1" applyAlignment="1">
      <alignment horizontal="center"/>
    </xf>
    <xf numFmtId="4" fontId="33" fillId="0" borderId="9" xfId="30" applyNumberFormat="1" applyFont="1" applyFill="1" applyBorder="1" applyAlignment="1">
      <alignment horizontal="center"/>
    </xf>
    <xf numFmtId="4" fontId="33" fillId="0" borderId="10" xfId="30" applyNumberFormat="1" applyFont="1" applyFill="1" applyBorder="1" applyAlignment="1">
      <alignment horizontal="center"/>
    </xf>
    <xf numFmtId="2" fontId="30" fillId="0" borderId="0" xfId="27" applyNumberFormat="1"/>
    <xf numFmtId="172" fontId="30" fillId="0" borderId="0" xfId="27" applyNumberFormat="1"/>
    <xf numFmtId="170" fontId="32" fillId="8" borderId="0" xfId="27" applyNumberFormat="1" applyFont="1" applyFill="1" applyBorder="1" applyAlignment="1"/>
    <xf numFmtId="173" fontId="0" fillId="0" borderId="0" xfId="0" applyNumberFormat="1" applyFill="1"/>
    <xf numFmtId="4" fontId="33" fillId="2" borderId="0" xfId="30" applyNumberFormat="1" applyFont="1" applyFill="1" applyBorder="1" applyAlignment="1">
      <alignment horizontal="center"/>
    </xf>
    <xf numFmtId="0" fontId="7" fillId="7" borderId="3" xfId="27" applyFont="1" applyFill="1" applyBorder="1"/>
    <xf numFmtId="0" fontId="7" fillId="0" borderId="3" xfId="27" applyFont="1" applyFill="1" applyBorder="1" applyAlignment="1"/>
    <xf numFmtId="168" fontId="6" fillId="0" borderId="3" xfId="29" quotePrefix="1" applyNumberFormat="1" applyFont="1" applyFill="1" applyBorder="1" applyAlignment="1">
      <alignment horizontal="center"/>
    </xf>
    <xf numFmtId="168" fontId="18" fillId="0" borderId="3" xfId="29" quotePrefix="1" applyNumberFormat="1" applyFont="1" applyFill="1" applyBorder="1" applyAlignment="1">
      <alignment horizontal="center"/>
    </xf>
    <xf numFmtId="4" fontId="18" fillId="0" borderId="3" xfId="28" quotePrefix="1" applyNumberFormat="1" applyFont="1" applyFill="1" applyBorder="1" applyAlignment="1">
      <alignment horizontal="center"/>
    </xf>
    <xf numFmtId="2" fontId="25" fillId="0" borderId="3" xfId="30" applyNumberFormat="1" applyFont="1" applyFill="1" applyBorder="1" applyAlignment="1">
      <alignment horizontal="center"/>
    </xf>
    <xf numFmtId="0" fontId="30" fillId="0" borderId="0" xfId="27" applyBorder="1"/>
    <xf numFmtId="43" fontId="30" fillId="0" borderId="0" xfId="8" applyFont="1"/>
    <xf numFmtId="0" fontId="7" fillId="0" borderId="0" xfId="27" applyFont="1" applyBorder="1"/>
    <xf numFmtId="0" fontId="35" fillId="0" borderId="0" xfId="27" applyFont="1" applyBorder="1"/>
    <xf numFmtId="0" fontId="24" fillId="8" borderId="8" xfId="27" applyFont="1" applyFill="1" applyBorder="1" applyAlignment="1">
      <alignment horizontal="center"/>
    </xf>
    <xf numFmtId="170" fontId="32" fillId="8" borderId="9" xfId="27" applyNumberFormat="1" applyFont="1" applyFill="1" applyBorder="1" applyAlignment="1"/>
    <xf numFmtId="4" fontId="33" fillId="0" borderId="9" xfId="28" quotePrefix="1" applyNumberFormat="1" applyFont="1" applyFill="1" applyBorder="1" applyAlignment="1">
      <alignment horizontal="center"/>
    </xf>
    <xf numFmtId="0" fontId="3" fillId="0" borderId="0" xfId="0" applyFont="1" applyFill="1"/>
    <xf numFmtId="2" fontId="8" fillId="40" borderId="0" xfId="0" applyNumberFormat="1" applyFont="1" applyFill="1" applyAlignment="1">
      <alignment horizontal="right"/>
    </xf>
    <xf numFmtId="2" fontId="8" fillId="41" borderId="0" xfId="0" applyNumberFormat="1" applyFont="1" applyFill="1" applyAlignment="1">
      <alignment horizontal="right"/>
    </xf>
    <xf numFmtId="0" fontId="3" fillId="0" borderId="0" xfId="2" applyFill="1" applyBorder="1"/>
    <xf numFmtId="0" fontId="49" fillId="0" borderId="0" xfId="2" applyFont="1" applyFill="1" applyBorder="1"/>
    <xf numFmtId="0" fontId="5" fillId="0" borderId="0" xfId="2" applyFont="1" applyFill="1" applyBorder="1"/>
    <xf numFmtId="0" fontId="50" fillId="0" borderId="0" xfId="2" applyFont="1" applyFill="1" applyBorder="1"/>
    <xf numFmtId="0" fontId="4" fillId="0" borderId="0" xfId="2" applyFont="1" applyFill="1" applyBorder="1"/>
    <xf numFmtId="0" fontId="6" fillId="0" borderId="0" xfId="2" applyFont="1" applyFill="1" applyBorder="1"/>
    <xf numFmtId="0" fontId="51" fillId="0" borderId="0" xfId="2" applyFont="1" applyFill="1" applyBorder="1"/>
    <xf numFmtId="165" fontId="3" fillId="0" borderId="0" xfId="2" applyNumberFormat="1" applyFill="1" applyBorder="1"/>
    <xf numFmtId="0" fontId="51" fillId="2" borderId="0" xfId="2" applyFont="1" applyFill="1" applyBorder="1"/>
    <xf numFmtId="0" fontId="52" fillId="3" borderId="0" xfId="2" applyFont="1" applyFill="1" applyBorder="1"/>
    <xf numFmtId="0" fontId="3" fillId="0" borderId="0" xfId="2" applyFont="1" applyFill="1" applyBorder="1"/>
    <xf numFmtId="174" fontId="4" fillId="0" borderId="20" xfId="2" applyNumberFormat="1" applyFont="1" applyFill="1" applyBorder="1" applyAlignment="1">
      <alignment horizontal="center" wrapText="1"/>
    </xf>
    <xf numFmtId="174" fontId="4" fillId="0" borderId="21" xfId="2" applyNumberFormat="1" applyFont="1" applyFill="1" applyBorder="1" applyAlignment="1">
      <alignment horizontal="center" wrapText="1"/>
    </xf>
    <xf numFmtId="175" fontId="4" fillId="0" borderId="21" xfId="2" applyNumberFormat="1" applyFont="1" applyFill="1" applyBorder="1" applyAlignment="1">
      <alignment horizontal="center" wrapText="1"/>
    </xf>
    <xf numFmtId="175" fontId="4" fillId="0" borderId="22" xfId="2" applyNumberFormat="1" applyFont="1" applyFill="1" applyBorder="1" applyAlignment="1">
      <alignment horizontal="center" wrapText="1"/>
    </xf>
    <xf numFmtId="174" fontId="4" fillId="0" borderId="0" xfId="2" applyNumberFormat="1" applyFont="1" applyFill="1" applyBorder="1" applyAlignment="1">
      <alignment horizontal="center" wrapText="1"/>
    </xf>
    <xf numFmtId="0" fontId="4" fillId="2" borderId="0" xfId="2" applyFont="1" applyFill="1" applyBorder="1"/>
    <xf numFmtId="2" fontId="51" fillId="0" borderId="0" xfId="4" applyNumberFormat="1" applyFont="1" applyFill="1" applyBorder="1" applyAlignment="1">
      <alignment horizontal="right"/>
    </xf>
    <xf numFmtId="2" fontId="51" fillId="0" borderId="0" xfId="2" applyNumberFormat="1" applyFont="1" applyFill="1" applyBorder="1" applyAlignment="1">
      <alignment horizontal="right"/>
    </xf>
    <xf numFmtId="2" fontId="51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/>
    <xf numFmtId="2" fontId="0" fillId="0" borderId="0" xfId="0" applyNumberFormat="1" applyFill="1"/>
    <xf numFmtId="10" fontId="0" fillId="0" borderId="0" xfId="1" applyNumberFormat="1" applyFont="1" applyFill="1"/>
    <xf numFmtId="2" fontId="4" fillId="0" borderId="0" xfId="2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right"/>
    </xf>
    <xf numFmtId="165" fontId="51" fillId="0" borderId="0" xfId="2" applyNumberFormat="1" applyFont="1" applyFill="1" applyBorder="1"/>
    <xf numFmtId="165" fontId="4" fillId="0" borderId="0" xfId="4" applyNumberFormat="1" applyFont="1" applyFill="1" applyBorder="1" applyAlignment="1">
      <alignment horizontal="right"/>
    </xf>
    <xf numFmtId="0" fontId="4" fillId="3" borderId="0" xfId="2" applyFont="1" applyFill="1" applyBorder="1"/>
    <xf numFmtId="0" fontId="0" fillId="0" borderId="0" xfId="0" applyFill="1" applyBorder="1"/>
    <xf numFmtId="165" fontId="51" fillId="0" borderId="0" xfId="4" applyNumberFormat="1" applyFont="1" applyFill="1" applyBorder="1" applyAlignment="1">
      <alignment horizontal="right"/>
    </xf>
    <xf numFmtId="165" fontId="51" fillId="0" borderId="0" xfId="2" applyNumberFormat="1" applyFont="1" applyFill="1" applyBorder="1" applyAlignment="1">
      <alignment horizontal="right"/>
    </xf>
    <xf numFmtId="0" fontId="7" fillId="0" borderId="0" xfId="2" applyFont="1" applyFill="1" applyBorder="1"/>
    <xf numFmtId="0" fontId="53" fillId="3" borderId="0" xfId="0" applyFont="1" applyFill="1" applyBorder="1"/>
    <xf numFmtId="165" fontId="49" fillId="0" borderId="0" xfId="2" applyNumberFormat="1" applyFont="1" applyFill="1" applyBorder="1"/>
    <xf numFmtId="165" fontId="4" fillId="0" borderId="0" xfId="2" applyNumberFormat="1" applyFont="1" applyFill="1" applyBorder="1"/>
    <xf numFmtId="166" fontId="51" fillId="0" borderId="0" xfId="4" applyNumberFormat="1" applyFont="1" applyFill="1" applyBorder="1" applyAlignment="1">
      <alignment horizontal="right"/>
    </xf>
    <xf numFmtId="165" fontId="51" fillId="4" borderId="0" xfId="4" applyNumberFormat="1" applyFont="1" applyFill="1" applyBorder="1" applyAlignment="1">
      <alignment horizontal="right"/>
    </xf>
    <xf numFmtId="174" fontId="4" fillId="0" borderId="22" xfId="2" applyNumberFormat="1" applyFont="1" applyFill="1" applyBorder="1" applyAlignment="1">
      <alignment horizontal="center" wrapText="1"/>
    </xf>
    <xf numFmtId="1" fontId="0" fillId="0" borderId="0" xfId="0" applyNumberFormat="1" applyFill="1" applyBorder="1"/>
    <xf numFmtId="1" fontId="0" fillId="0" borderId="0" xfId="0" applyNumberFormat="1" applyFill="1"/>
    <xf numFmtId="1" fontId="0" fillId="42" borderId="0" xfId="0" applyNumberFormat="1" applyFill="1" applyBorder="1"/>
    <xf numFmtId="1" fontId="26" fillId="0" borderId="0" xfId="0" applyNumberFormat="1" applyFont="1" applyFill="1" applyBorder="1"/>
    <xf numFmtId="1" fontId="2" fillId="0" borderId="0" xfId="0" applyNumberFormat="1" applyFont="1" applyFill="1"/>
    <xf numFmtId="2" fontId="2" fillId="0" borderId="0" xfId="0" applyNumberFormat="1" applyFont="1" applyFill="1"/>
    <xf numFmtId="0" fontId="54" fillId="2" borderId="0" xfId="2" applyFont="1" applyFill="1" applyBorder="1"/>
    <xf numFmtId="0" fontId="55" fillId="2" borderId="0" xfId="2" applyFont="1" applyFill="1" applyBorder="1"/>
    <xf numFmtId="1" fontId="2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175" fontId="4" fillId="0" borderId="23" xfId="2" applyNumberFormat="1" applyFont="1" applyFill="1" applyBorder="1" applyAlignment="1">
      <alignment horizontal="center" wrapText="1"/>
    </xf>
    <xf numFmtId="4" fontId="0" fillId="0" borderId="0" xfId="0" applyNumberFormat="1" applyFill="1"/>
    <xf numFmtId="0" fontId="3" fillId="4" borderId="0" xfId="0" applyFont="1" applyFill="1"/>
    <xf numFmtId="2" fontId="10" fillId="0" borderId="0" xfId="0" applyNumberFormat="1" applyFont="1" applyFill="1" applyAlignment="1">
      <alignment horizontal="center"/>
    </xf>
    <xf numFmtId="2" fontId="8" fillId="6" borderId="0" xfId="0" applyNumberFormat="1" applyFont="1" applyFill="1" applyAlignment="1">
      <alignment horizontal="center"/>
    </xf>
    <xf numFmtId="4" fontId="33" fillId="0" borderId="0" xfId="29" applyNumberFormat="1" applyFont="1" applyFill="1" applyBorder="1" applyAlignment="1">
      <alignment horizontal="center"/>
    </xf>
    <xf numFmtId="0" fontId="32" fillId="8" borderId="8" xfId="27" applyFont="1" applyFill="1" applyBorder="1" applyAlignment="1">
      <alignment horizontal="center"/>
    </xf>
    <xf numFmtId="0" fontId="24" fillId="8" borderId="9" xfId="27" applyFont="1" applyFill="1" applyBorder="1" applyAlignment="1"/>
    <xf numFmtId="0" fontId="3" fillId="0" borderId="0" xfId="98"/>
    <xf numFmtId="0" fontId="3" fillId="0" borderId="2" xfId="98" applyFill="1" applyBorder="1"/>
    <xf numFmtId="0" fontId="3" fillId="0" borderId="9" xfId="98" applyFill="1" applyBorder="1"/>
    <xf numFmtId="0" fontId="3" fillId="0" borderId="10" xfId="98" applyFill="1" applyBorder="1"/>
    <xf numFmtId="0" fontId="3" fillId="0" borderId="0" xfId="98" applyFill="1" applyBorder="1"/>
    <xf numFmtId="0" fontId="3" fillId="0" borderId="6" xfId="98" applyFill="1" applyBorder="1"/>
    <xf numFmtId="0" fontId="3" fillId="0" borderId="0" xfId="98" applyBorder="1"/>
    <xf numFmtId="0" fontId="32" fillId="8" borderId="5" xfId="98" applyFont="1" applyFill="1" applyBorder="1" applyAlignment="1">
      <alignment horizontal="center"/>
    </xf>
    <xf numFmtId="0" fontId="24" fillId="8" borderId="0" xfId="98" applyFont="1" applyFill="1" applyBorder="1" applyAlignment="1"/>
    <xf numFmtId="0" fontId="32" fillId="8" borderId="8" xfId="98" applyFont="1" applyFill="1" applyBorder="1" applyAlignment="1">
      <alignment horizontal="center"/>
    </xf>
    <xf numFmtId="0" fontId="24" fillId="8" borderId="9" xfId="98" applyFont="1" applyFill="1" applyBorder="1" applyAlignment="1"/>
    <xf numFmtId="0" fontId="24" fillId="8" borderId="5" xfId="98" applyFont="1" applyFill="1" applyBorder="1" applyAlignment="1">
      <alignment horizontal="center"/>
    </xf>
    <xf numFmtId="170" fontId="32" fillId="8" borderId="0" xfId="98" applyNumberFormat="1" applyFont="1" applyFill="1" applyBorder="1" applyAlignment="1"/>
    <xf numFmtId="172" fontId="3" fillId="0" borderId="0" xfId="98" applyNumberFormat="1"/>
    <xf numFmtId="2" fontId="3" fillId="0" borderId="0" xfId="98" applyNumberFormat="1"/>
    <xf numFmtId="43" fontId="3" fillId="0" borderId="0" xfId="8" applyFont="1"/>
    <xf numFmtId="0" fontId="24" fillId="8" borderId="8" xfId="98" applyFont="1" applyFill="1" applyBorder="1" applyAlignment="1">
      <alignment horizontal="center"/>
    </xf>
    <xf numFmtId="170" fontId="32" fillId="8" borderId="9" xfId="98" applyNumberFormat="1" applyFont="1" applyFill="1" applyBorder="1" applyAlignment="1"/>
    <xf numFmtId="0" fontId="7" fillId="7" borderId="3" xfId="98" applyFont="1" applyFill="1" applyBorder="1"/>
    <xf numFmtId="0" fontId="7" fillId="0" borderId="3" xfId="98" applyFont="1" applyFill="1" applyBorder="1" applyAlignment="1"/>
    <xf numFmtId="0" fontId="7" fillId="0" borderId="0" xfId="98" applyFont="1" applyBorder="1"/>
    <xf numFmtId="0" fontId="35" fillId="0" borderId="0" xfId="98" applyFont="1" applyBorder="1"/>
    <xf numFmtId="0" fontId="2" fillId="2" borderId="0" xfId="0" applyFont="1" applyFill="1"/>
    <xf numFmtId="1" fontId="32" fillId="8" borderId="5" xfId="98" applyNumberFormat="1" applyFont="1" applyFill="1" applyBorder="1" applyAlignment="1">
      <alignment horizontal="center"/>
    </xf>
    <xf numFmtId="2" fontId="33" fillId="8" borderId="0" xfId="98" applyNumberFormat="1" applyFont="1" applyFill="1" applyBorder="1" applyAlignment="1"/>
    <xf numFmtId="0" fontId="24" fillId="8" borderId="2" xfId="98" applyFont="1" applyFill="1" applyBorder="1" applyAlignment="1">
      <alignment horizontal="center"/>
    </xf>
    <xf numFmtId="170" fontId="32" fillId="8" borderId="3" xfId="98" applyNumberFormat="1" applyFont="1" applyFill="1" applyBorder="1" applyAlignment="1"/>
    <xf numFmtId="4" fontId="33" fillId="0" borderId="3" xfId="29" quotePrefix="1" applyNumberFormat="1" applyFont="1" applyFill="1" applyBorder="1" applyAlignment="1">
      <alignment horizontal="center"/>
    </xf>
    <xf numFmtId="4" fontId="33" fillId="0" borderId="3" xfId="30" applyNumberFormat="1" applyFont="1" applyFill="1" applyBorder="1" applyAlignment="1">
      <alignment horizontal="center"/>
    </xf>
    <xf numFmtId="166" fontId="10" fillId="0" borderId="0" xfId="0" applyNumberFormat="1" applyFont="1" applyFill="1" applyAlignment="1">
      <alignment horizontal="center"/>
    </xf>
    <xf numFmtId="2" fontId="25" fillId="0" borderId="0" xfId="30" applyNumberFormat="1" applyFont="1" applyFill="1" applyBorder="1" applyAlignment="1">
      <alignment horizontal="center"/>
    </xf>
    <xf numFmtId="2" fontId="25" fillId="0" borderId="6" xfId="30" applyNumberFormat="1" applyFont="1" applyFill="1" applyBorder="1" applyAlignment="1">
      <alignment horizontal="center"/>
    </xf>
    <xf numFmtId="0" fontId="3" fillId="0" borderId="0" xfId="27" applyFont="1"/>
    <xf numFmtId="4" fontId="30" fillId="0" borderId="0" xfId="27" applyNumberFormat="1"/>
    <xf numFmtId="4" fontId="33" fillId="0" borderId="41" xfId="30" applyNumberFormat="1" applyFont="1" applyFill="1" applyBorder="1" applyAlignment="1">
      <alignment horizontal="center"/>
    </xf>
    <xf numFmtId="0" fontId="24" fillId="8" borderId="38" xfId="27" applyFont="1" applyFill="1" applyBorder="1" applyAlignment="1">
      <alignment horizontal="center"/>
    </xf>
    <xf numFmtId="0" fontId="32" fillId="8" borderId="39" xfId="27" applyFont="1" applyFill="1" applyBorder="1" applyAlignment="1">
      <alignment horizontal="center"/>
    </xf>
    <xf numFmtId="170" fontId="32" fillId="8" borderId="3" xfId="27" applyNumberFormat="1" applyFont="1" applyFill="1" applyBorder="1" applyAlignment="1"/>
    <xf numFmtId="4" fontId="33" fillId="0" borderId="3" xfId="28" quotePrefix="1" applyNumberFormat="1" applyFont="1" applyFill="1" applyBorder="1" applyAlignment="1">
      <alignment horizontal="center"/>
    </xf>
    <xf numFmtId="4" fontId="33" fillId="0" borderId="4" xfId="30" applyNumberFormat="1" applyFont="1" applyFill="1" applyBorder="1" applyAlignment="1">
      <alignment horizontal="center"/>
    </xf>
    <xf numFmtId="0" fontId="3" fillId="0" borderId="0" xfId="310" applyFont="1" applyFill="1"/>
    <xf numFmtId="0" fontId="3" fillId="0" borderId="0" xfId="310" applyFont="1" applyFill="1" applyBorder="1"/>
    <xf numFmtId="0" fontId="3" fillId="0" borderId="38" xfId="310" applyFont="1" applyBorder="1"/>
    <xf numFmtId="0" fontId="3" fillId="0" borderId="0" xfId="310" applyFont="1" applyBorder="1"/>
    <xf numFmtId="0" fontId="3" fillId="2" borderId="0" xfId="310" applyFont="1" applyFill="1" applyBorder="1"/>
    <xf numFmtId="0" fontId="3" fillId="0" borderId="3" xfId="310" applyFont="1" applyBorder="1"/>
    <xf numFmtId="0" fontId="3" fillId="0" borderId="3" xfId="310" applyFont="1" applyFill="1" applyBorder="1"/>
    <xf numFmtId="165" fontId="3" fillId="0" borderId="3" xfId="310" applyNumberFormat="1" applyFont="1" applyFill="1" applyBorder="1"/>
    <xf numFmtId="0" fontId="3" fillId="0" borderId="4" xfId="310" applyFont="1" applyFill="1" applyBorder="1"/>
    <xf numFmtId="0" fontId="3" fillId="0" borderId="0" xfId="310" applyFont="1" applyFill="1" applyBorder="1" applyAlignment="1">
      <alignment vertical="center" wrapText="1"/>
    </xf>
    <xf numFmtId="0" fontId="3" fillId="0" borderId="0" xfId="310" applyFont="1" applyFill="1" applyAlignment="1">
      <alignment vertical="center" wrapText="1"/>
    </xf>
    <xf numFmtId="0" fontId="3" fillId="0" borderId="0" xfId="310" applyFont="1" applyFill="1" applyBorder="1" applyAlignment="1">
      <alignment vertical="center"/>
    </xf>
    <xf numFmtId="0" fontId="3" fillId="0" borderId="0" xfId="310" applyFont="1" applyFill="1" applyAlignment="1">
      <alignment vertical="center"/>
    </xf>
    <xf numFmtId="2" fontId="3" fillId="2" borderId="34" xfId="310" applyNumberFormat="1" applyFont="1" applyFill="1" applyBorder="1"/>
    <xf numFmtId="2" fontId="3" fillId="0" borderId="35" xfId="310" applyNumberFormat="1" applyFont="1" applyBorder="1"/>
    <xf numFmtId="2" fontId="3" fillId="0" borderId="36" xfId="310" applyNumberFormat="1" applyFont="1" applyBorder="1"/>
    <xf numFmtId="165" fontId="3" fillId="0" borderId="0" xfId="310" applyNumberFormat="1" applyFont="1" applyFill="1"/>
    <xf numFmtId="2" fontId="3" fillId="2" borderId="0" xfId="310" applyNumberFormat="1" applyFont="1" applyFill="1" applyBorder="1"/>
    <xf numFmtId="2" fontId="3" fillId="0" borderId="0" xfId="310" applyNumberFormat="1" applyFont="1" applyBorder="1"/>
    <xf numFmtId="0" fontId="3" fillId="7" borderId="39" xfId="310" applyFont="1" applyFill="1" applyBorder="1"/>
    <xf numFmtId="0" fontId="3" fillId="7" borderId="3" xfId="310" applyFont="1" applyFill="1" applyBorder="1"/>
    <xf numFmtId="0" fontId="85" fillId="7" borderId="3" xfId="310" applyFont="1" applyFill="1" applyBorder="1"/>
    <xf numFmtId="0" fontId="85" fillId="7" borderId="4" xfId="310" applyFont="1" applyFill="1" applyBorder="1"/>
    <xf numFmtId="0" fontId="3" fillId="7" borderId="38" xfId="310" applyFont="1" applyFill="1" applyBorder="1"/>
    <xf numFmtId="0" fontId="3" fillId="7" borderId="0" xfId="310" applyFont="1" applyFill="1" applyBorder="1"/>
    <xf numFmtId="0" fontId="85" fillId="7" borderId="0" xfId="310" applyFont="1" applyFill="1" applyBorder="1"/>
    <xf numFmtId="0" fontId="35" fillId="7" borderId="0" xfId="310" applyFont="1" applyFill="1" applyBorder="1"/>
    <xf numFmtId="0" fontId="35" fillId="7" borderId="41" xfId="310" applyFont="1" applyFill="1" applyBorder="1" applyAlignment="1">
      <alignment horizontal="center"/>
    </xf>
    <xf numFmtId="0" fontId="87" fillId="0" borderId="21" xfId="98" applyFont="1" applyFill="1" applyBorder="1" applyAlignment="1">
      <alignment horizontal="left" vertical="top" wrapText="1"/>
    </xf>
    <xf numFmtId="0" fontId="3" fillId="2" borderId="21" xfId="310" applyFont="1" applyFill="1" applyBorder="1"/>
    <xf numFmtId="2" fontId="3" fillId="2" borderId="21" xfId="310" applyNumberFormat="1" applyFont="1" applyFill="1" applyBorder="1" applyAlignment="1">
      <alignment horizontal="center"/>
    </xf>
    <xf numFmtId="0" fontId="84" fillId="65" borderId="40" xfId="310" applyNumberFormat="1" applyFont="1" applyFill="1" applyBorder="1" applyAlignment="1"/>
    <xf numFmtId="17" fontId="84" fillId="65" borderId="33" xfId="310" applyNumberFormat="1" applyFont="1" applyFill="1" applyBorder="1" applyAlignment="1">
      <alignment horizontal="center"/>
    </xf>
    <xf numFmtId="17" fontId="84" fillId="65" borderId="42" xfId="310" applyNumberFormat="1" applyFont="1" applyFill="1" applyBorder="1" applyAlignment="1">
      <alignment horizontal="center"/>
    </xf>
    <xf numFmtId="17" fontId="84" fillId="65" borderId="43" xfId="310" applyNumberFormat="1" applyFont="1" applyFill="1" applyBorder="1" applyAlignment="1">
      <alignment horizontal="center"/>
    </xf>
    <xf numFmtId="0" fontId="86" fillId="2" borderId="38" xfId="310" applyFont="1" applyFill="1" applyBorder="1" applyAlignment="1">
      <alignment horizontal="left" vertical="center" wrapText="1"/>
    </xf>
    <xf numFmtId="2" fontId="3" fillId="2" borderId="0" xfId="310" applyNumberFormat="1" applyFont="1" applyFill="1" applyBorder="1" applyAlignment="1">
      <alignment horizontal="center" vertical="center" wrapText="1"/>
    </xf>
    <xf numFmtId="2" fontId="3" fillId="2" borderId="41" xfId="310" applyNumberFormat="1" applyFont="1" applyFill="1" applyBorder="1" applyAlignment="1">
      <alignment horizontal="center" vertical="center" wrapText="1"/>
    </xf>
    <xf numFmtId="0" fontId="5" fillId="0" borderId="38" xfId="28" applyNumberFormat="1" applyFont="1" applyFill="1" applyBorder="1" applyAlignment="1">
      <alignment horizontal="left" vertical="center" wrapText="1"/>
    </xf>
    <xf numFmtId="2" fontId="3" fillId="2" borderId="0" xfId="310" applyNumberFormat="1" applyFont="1" applyFill="1" applyBorder="1" applyAlignment="1">
      <alignment horizontal="center" vertical="center"/>
    </xf>
    <xf numFmtId="2" fontId="3" fillId="2" borderId="41" xfId="310" applyNumberFormat="1" applyFont="1" applyFill="1" applyBorder="1" applyAlignment="1">
      <alignment horizontal="center" vertical="center"/>
    </xf>
    <xf numFmtId="0" fontId="5" fillId="0" borderId="8" xfId="28" applyNumberFormat="1" applyFont="1" applyFill="1" applyBorder="1" applyAlignment="1">
      <alignment horizontal="left" vertical="center" wrapText="1"/>
    </xf>
    <xf numFmtId="2" fontId="3" fillId="2" borderId="9" xfId="310" applyNumberFormat="1" applyFont="1" applyFill="1" applyBorder="1" applyAlignment="1">
      <alignment horizontal="center" vertical="center" wrapText="1"/>
    </xf>
    <xf numFmtId="2" fontId="3" fillId="2" borderId="9" xfId="310" applyNumberFormat="1" applyFont="1" applyFill="1" applyBorder="1" applyAlignment="1">
      <alignment horizontal="center" vertical="center"/>
    </xf>
    <xf numFmtId="2" fontId="3" fillId="2" borderId="10" xfId="310" applyNumberFormat="1" applyFont="1" applyFill="1" applyBorder="1" applyAlignment="1">
      <alignment horizontal="center" vertical="center"/>
    </xf>
    <xf numFmtId="0" fontId="35" fillId="0" borderId="0" xfId="310" applyFont="1" applyBorder="1"/>
    <xf numFmtId="0" fontId="35" fillId="0" borderId="0" xfId="98" applyFont="1" applyBorder="1" applyAlignment="1">
      <alignment horizontal="left"/>
    </xf>
    <xf numFmtId="0" fontId="6" fillId="0" borderId="0" xfId="98" applyFont="1" applyBorder="1" applyAlignment="1">
      <alignment horizontal="left" indent="2"/>
    </xf>
    <xf numFmtId="165" fontId="91" fillId="2" borderId="20" xfId="98" applyNumberFormat="1" applyFont="1" applyFill="1" applyBorder="1" applyAlignment="1">
      <alignment horizontal="center" vertical="center" wrapText="1"/>
    </xf>
    <xf numFmtId="165" fontId="91" fillId="2" borderId="21" xfId="98" applyNumberFormat="1" applyFont="1" applyFill="1" applyBorder="1" applyAlignment="1">
      <alignment horizontal="center" vertical="center" wrapText="1"/>
    </xf>
    <xf numFmtId="0" fontId="89" fillId="0" borderId="0" xfId="98" applyFont="1" applyFill="1" applyBorder="1" applyAlignment="1">
      <alignment horizontal="left" vertical="top" wrapText="1"/>
    </xf>
    <xf numFmtId="0" fontId="84" fillId="65" borderId="3" xfId="310" applyFont="1" applyFill="1" applyBorder="1" applyAlignment="1">
      <alignment horizontal="center" vertical="center"/>
    </xf>
    <xf numFmtId="0" fontId="84" fillId="65" borderId="1" xfId="310" applyFont="1" applyFill="1" applyBorder="1" applyAlignment="1">
      <alignment horizontal="center" vertical="center"/>
    </xf>
    <xf numFmtId="0" fontId="84" fillId="65" borderId="40" xfId="310" applyFont="1" applyFill="1" applyBorder="1" applyAlignment="1">
      <alignment horizontal="center" vertical="center" wrapText="1"/>
    </xf>
    <xf numFmtId="0" fontId="84" fillId="65" borderId="44" xfId="310" applyFont="1" applyFill="1" applyBorder="1" applyAlignment="1">
      <alignment horizontal="center" vertical="center" wrapText="1"/>
    </xf>
    <xf numFmtId="0" fontId="84" fillId="65" borderId="0" xfId="310" applyFont="1" applyFill="1" applyBorder="1" applyAlignment="1">
      <alignment horizontal="center" vertical="center"/>
    </xf>
    <xf numFmtId="0" fontId="88" fillId="0" borderId="0" xfId="98" applyFont="1" applyFill="1" applyBorder="1" applyAlignment="1">
      <alignment horizontal="left" vertical="top" wrapText="1"/>
    </xf>
    <xf numFmtId="0" fontId="5" fillId="7" borderId="38" xfId="310" applyFont="1" applyFill="1" applyBorder="1" applyAlignment="1">
      <alignment horizontal="left" vertical="center"/>
    </xf>
    <xf numFmtId="0" fontId="5" fillId="7" borderId="0" xfId="310" applyFont="1" applyFill="1" applyBorder="1" applyAlignment="1">
      <alignment horizontal="left" vertical="center"/>
    </xf>
    <xf numFmtId="0" fontId="5" fillId="7" borderId="41" xfId="310" applyFont="1" applyFill="1" applyBorder="1" applyAlignment="1">
      <alignment horizontal="left" vertical="center"/>
    </xf>
    <xf numFmtId="0" fontId="92" fillId="65" borderId="39" xfId="310" applyFont="1" applyFill="1" applyBorder="1" applyAlignment="1">
      <alignment horizontal="right" vertical="center"/>
    </xf>
    <xf numFmtId="0" fontId="92" fillId="65" borderId="37" xfId="310" applyFont="1" applyFill="1" applyBorder="1" applyAlignment="1">
      <alignment horizontal="right" vertical="center"/>
    </xf>
    <xf numFmtId="0" fontId="84" fillId="65" borderId="40" xfId="310" applyNumberFormat="1" applyFont="1" applyFill="1" applyBorder="1" applyAlignment="1">
      <alignment horizontal="center" vertical="center"/>
    </xf>
    <xf numFmtId="0" fontId="23" fillId="0" borderId="1" xfId="28" applyNumberFormat="1" applyFont="1" applyFill="1" applyBorder="1" applyAlignment="1">
      <alignment horizontal="center" vertical="center"/>
    </xf>
    <xf numFmtId="0" fontId="23" fillId="0" borderId="7" xfId="28" applyNumberFormat="1" applyFont="1" applyFill="1" applyBorder="1" applyAlignment="1">
      <alignment horizontal="center" vertical="center"/>
    </xf>
    <xf numFmtId="0" fontId="34" fillId="0" borderId="0" xfId="27" applyFont="1" applyFill="1" applyBorder="1" applyAlignment="1">
      <alignment horizontal="left" vertical="top" wrapText="1"/>
    </xf>
    <xf numFmtId="0" fontId="34" fillId="0" borderId="0" xfId="98" applyFont="1" applyFill="1" applyBorder="1" applyAlignment="1">
      <alignment horizontal="left" vertical="top" wrapText="1"/>
    </xf>
  </cellXfs>
  <cellStyles count="315">
    <cellStyle name="20% - Cor1" xfId="71" builtinId="30" customBuiltin="1"/>
    <cellStyle name="20% - Cor1 2" xfId="104"/>
    <cellStyle name="20% - Cor2" xfId="75" builtinId="34" customBuiltin="1"/>
    <cellStyle name="20% - Cor2 2" xfId="105"/>
    <cellStyle name="20% - Cor3" xfId="79" builtinId="38" customBuiltin="1"/>
    <cellStyle name="20% - Cor3 2" xfId="106"/>
    <cellStyle name="20% - Cor4" xfId="83" builtinId="42" customBuiltin="1"/>
    <cellStyle name="20% - Cor4 2" xfId="107"/>
    <cellStyle name="20% - Cor5" xfId="87" builtinId="46" customBuiltin="1"/>
    <cellStyle name="20% - Cor5 2" xfId="108"/>
    <cellStyle name="20% - Cor6" xfId="91" builtinId="50" customBuiltin="1"/>
    <cellStyle name="20% - Cor6 2" xfId="109"/>
    <cellStyle name="20% - Ênfase1" xfId="110"/>
    <cellStyle name="20% - Ênfase2" xfId="111"/>
    <cellStyle name="20% - Ênfase3" xfId="112"/>
    <cellStyle name="20% - Ênfase4" xfId="113"/>
    <cellStyle name="20% - Ênfase5" xfId="114"/>
    <cellStyle name="20% - Ênfase6" xfId="115"/>
    <cellStyle name="40% - Cor1" xfId="72" builtinId="31" customBuiltin="1"/>
    <cellStyle name="40% - Cor1 2" xfId="116"/>
    <cellStyle name="40% - Cor2" xfId="76" builtinId="35" customBuiltin="1"/>
    <cellStyle name="40% - Cor2 2" xfId="117"/>
    <cellStyle name="40% - Cor3" xfId="80" builtinId="39" customBuiltin="1"/>
    <cellStyle name="40% - Cor3 2" xfId="118"/>
    <cellStyle name="40% - Cor4" xfId="84" builtinId="43" customBuiltin="1"/>
    <cellStyle name="40% - Cor4 2" xfId="119"/>
    <cellStyle name="40% - Cor5" xfId="88" builtinId="47" customBuiltin="1"/>
    <cellStyle name="40% - Cor5 2" xfId="120"/>
    <cellStyle name="40% - Cor6" xfId="92" builtinId="51" customBuiltin="1"/>
    <cellStyle name="40% - Cor6 2" xfId="121"/>
    <cellStyle name="40% - Ênfase1" xfId="122"/>
    <cellStyle name="40% - Ênfase2" xfId="123"/>
    <cellStyle name="40% - Ênfase3" xfId="124"/>
    <cellStyle name="40% - Ênfase4" xfId="125"/>
    <cellStyle name="40% - Ênfase5" xfId="126"/>
    <cellStyle name="40% - Ênfase6" xfId="127"/>
    <cellStyle name="60% - Cor1" xfId="73" builtinId="32" customBuiltin="1"/>
    <cellStyle name="60% - Cor1 2" xfId="128"/>
    <cellStyle name="60% - Cor2" xfId="77" builtinId="36" customBuiltin="1"/>
    <cellStyle name="60% - Cor2 2" xfId="129"/>
    <cellStyle name="60% - Cor3" xfId="81" builtinId="40" customBuiltin="1"/>
    <cellStyle name="60% - Cor3 2" xfId="130"/>
    <cellStyle name="60% - Cor4" xfId="85" builtinId="44" customBuiltin="1"/>
    <cellStyle name="60% - Cor4 2" xfId="131"/>
    <cellStyle name="60% - Cor5" xfId="89" builtinId="48" customBuiltin="1"/>
    <cellStyle name="60% - Cor5 2" xfId="132"/>
    <cellStyle name="60% - Cor6" xfId="93" builtinId="52" customBuiltin="1"/>
    <cellStyle name="60% - Cor6 2" xfId="133"/>
    <cellStyle name="60% - Ênfase1" xfId="134"/>
    <cellStyle name="60% - Ênfase2" xfId="135"/>
    <cellStyle name="60% - Ênfase3" xfId="136"/>
    <cellStyle name="60% - Ênfase4" xfId="137"/>
    <cellStyle name="60% - Ênfase5" xfId="138"/>
    <cellStyle name="60% - Ênfase6" xfId="139"/>
    <cellStyle name="Bom" xfId="140"/>
    <cellStyle name="Cabeçalho 1" xfId="54" builtinId="16" customBuiltin="1"/>
    <cellStyle name="Cabeçalho 1 2" xfId="141"/>
    <cellStyle name="Cabeçalho 2" xfId="55" builtinId="17" customBuiltin="1"/>
    <cellStyle name="Cabeçalho 2 2" xfId="142"/>
    <cellStyle name="Cabeçalho 3" xfId="56" builtinId="18" customBuiltin="1"/>
    <cellStyle name="Cabeçalho 3 2" xfId="143"/>
    <cellStyle name="Cabeçalho 4" xfId="57" builtinId="19" customBuiltin="1"/>
    <cellStyle name="Cabeçalho 4 2" xfId="144"/>
    <cellStyle name="Cálculo" xfId="63" builtinId="22" customBuiltin="1"/>
    <cellStyle name="Cálculo 2" xfId="145"/>
    <cellStyle name="Célula de Verificação" xfId="146"/>
    <cellStyle name="Célula Ligada" xfId="64" builtinId="24" customBuiltin="1"/>
    <cellStyle name="Célula Ligada 2" xfId="147"/>
    <cellStyle name="Célula Vinculada" xfId="148"/>
    <cellStyle name="Cor1" xfId="70" builtinId="29" customBuiltin="1"/>
    <cellStyle name="Cor1 2" xfId="149"/>
    <cellStyle name="Cor2" xfId="74" builtinId="33" customBuiltin="1"/>
    <cellStyle name="Cor2 2" xfId="150"/>
    <cellStyle name="Cor3" xfId="78" builtinId="37" customBuiltin="1"/>
    <cellStyle name="Cor3 2" xfId="151"/>
    <cellStyle name="Cor4" xfId="82" builtinId="41" customBuiltin="1"/>
    <cellStyle name="Cor4 2" xfId="152"/>
    <cellStyle name="Cor5" xfId="86" builtinId="45" customBuiltin="1"/>
    <cellStyle name="Cor5 2" xfId="153"/>
    <cellStyle name="Cor6" xfId="90" builtinId="49" customBuiltin="1"/>
    <cellStyle name="Cor6 2" xfId="154"/>
    <cellStyle name="Correcto 2" xfId="155"/>
    <cellStyle name="Correto" xfId="58" builtinId="26" customBuiltin="1"/>
    <cellStyle name="Ênfase1" xfId="156"/>
    <cellStyle name="Ênfase2" xfId="157"/>
    <cellStyle name="Ênfase3" xfId="158"/>
    <cellStyle name="Ênfase4" xfId="159"/>
    <cellStyle name="Ênfase5" xfId="160"/>
    <cellStyle name="Ênfase6" xfId="161"/>
    <cellStyle name="Entrada" xfId="61" builtinId="20" customBuiltin="1"/>
    <cellStyle name="Entrada 2" xfId="162"/>
    <cellStyle name="Euro" xfId="31"/>
    <cellStyle name="Hiperligação" xfId="9" builtinId="8" hidden="1"/>
    <cellStyle name="Hiperligação" xfId="11" builtinId="8" hidden="1"/>
    <cellStyle name="Hiperligação" xfId="13" builtinId="8" hidden="1"/>
    <cellStyle name="Hiperligação" xfId="15" builtinId="8" hidden="1"/>
    <cellStyle name="Hiperligação" xfId="17" builtinId="8" hidden="1"/>
    <cellStyle name="Hiperligação" xfId="19" builtinId="8" hidden="1"/>
    <cellStyle name="Hiperligação" xfId="21" builtinId="8" hidden="1"/>
    <cellStyle name="Hiperligação" xfId="23" builtinId="8" hidden="1"/>
    <cellStyle name="Hiperligação" xfId="25" builtinId="8" hidden="1"/>
    <cellStyle name="Hiperligação 2" xfId="163"/>
    <cellStyle name="Hiperligação 3" xfId="164"/>
    <cellStyle name="Hiperligação Visitada" xfId="10" builtinId="9" hidden="1"/>
    <cellStyle name="Hiperligação Visitada" xfId="12" builtinId="9" hidden="1"/>
    <cellStyle name="Hiperligação Visitada" xfId="14" builtinId="9" hidden="1"/>
    <cellStyle name="Hiperligação Visitada" xfId="16" builtinId="9" hidden="1"/>
    <cellStyle name="Hiperligação Visitada" xfId="18" builtinId="9" hidden="1"/>
    <cellStyle name="Hiperligação Visitada" xfId="20" builtinId="9" hidden="1"/>
    <cellStyle name="Hiperligação Visitada" xfId="22" builtinId="9" hidden="1"/>
    <cellStyle name="Hiperligação Visitada" xfId="24" builtinId="9" hidden="1"/>
    <cellStyle name="Hiperligação Visitada" xfId="26" builtinId="9" hidden="1"/>
    <cellStyle name="Incorrecto 2" xfId="165"/>
    <cellStyle name="Incorreto" xfId="59" builtinId="27" customBuiltin="1"/>
    <cellStyle name="Neutra" xfId="166"/>
    <cellStyle name="Neutro" xfId="60" builtinId="28" customBuiltin="1"/>
    <cellStyle name="Neutro 2" xfId="167"/>
    <cellStyle name="Normal" xfId="0" builtinId="0"/>
    <cellStyle name="Normal 10" xfId="97"/>
    <cellStyle name="Normal 10 2" xfId="169"/>
    <cellStyle name="Normal 10 3" xfId="168"/>
    <cellStyle name="Normal 11" xfId="99"/>
    <cellStyle name="Normal 11 2" xfId="171"/>
    <cellStyle name="Normal 11 3" xfId="170"/>
    <cellStyle name="Normal 12" xfId="100"/>
    <cellStyle name="Normal 12 2" xfId="32"/>
    <cellStyle name="Normal 12 3" xfId="33"/>
    <cellStyle name="Normal 12 4" xfId="172"/>
    <cellStyle name="Normal 13" xfId="101"/>
    <cellStyle name="Normal 13 2" xfId="174"/>
    <cellStyle name="Normal 13 3" xfId="175"/>
    <cellStyle name="Normal 13 4" xfId="173"/>
    <cellStyle name="Normal 14" xfId="102"/>
    <cellStyle name="Normal 14 2" xfId="176"/>
    <cellStyle name="Normal 15" xfId="103"/>
    <cellStyle name="Normal 15 2" xfId="178"/>
    <cellStyle name="Normal 15 2 2" xfId="179"/>
    <cellStyle name="Normal 15 3" xfId="180"/>
    <cellStyle name="Normal 15 4" xfId="177"/>
    <cellStyle name="Normal 16" xfId="181"/>
    <cellStyle name="Normal 16 2" xfId="182"/>
    <cellStyle name="Normal 17" xfId="183"/>
    <cellStyle name="Normal 17 2" xfId="184"/>
    <cellStyle name="Normal 18" xfId="185"/>
    <cellStyle name="Normal 19" xfId="186"/>
    <cellStyle name="Normal 2" xfId="2"/>
    <cellStyle name="Normal 2 2" xfId="28"/>
    <cellStyle name="Normal 2 2 2" xfId="189"/>
    <cellStyle name="Normal 2 2 2 2" xfId="190"/>
    <cellStyle name="Normal 2 2 2 3" xfId="191"/>
    <cellStyle name="Normal 2 2 3" xfId="192"/>
    <cellStyle name="Normal 2 2 4" xfId="193"/>
    <cellStyle name="Normal 2 2 5" xfId="188"/>
    <cellStyle name="Normal 2 3" xfId="34"/>
    <cellStyle name="Normal 2 3 2" xfId="194"/>
    <cellStyle name="Normal 2 4" xfId="195"/>
    <cellStyle name="Normal 2 4 2" xfId="196"/>
    <cellStyle name="Normal 2 4 2 2" xfId="197"/>
    <cellStyle name="Normal 2 4 2 2 2" xfId="198"/>
    <cellStyle name="Normal 2 4 2 3" xfId="199"/>
    <cellStyle name="Normal 2 4 3" xfId="200"/>
    <cellStyle name="Normal 2 4 3 2" xfId="201"/>
    <cellStyle name="Normal 2 4 4" xfId="202"/>
    <cellStyle name="Normal 2 5" xfId="203"/>
    <cellStyle name="Normal 2 6" xfId="187"/>
    <cellStyle name="Normal 20" xfId="204"/>
    <cellStyle name="Normal 21" xfId="310"/>
    <cellStyle name="Normal 22" xfId="311"/>
    <cellStyle name="Normal 23" xfId="35"/>
    <cellStyle name="Normal 24" xfId="312"/>
    <cellStyle name="Normal 29" xfId="36"/>
    <cellStyle name="Normal 3" xfId="7"/>
    <cellStyle name="Normal 3 2" xfId="30"/>
    <cellStyle name="Normal 3 2 2" xfId="207"/>
    <cellStyle name="Normal 3 2 2 2" xfId="208"/>
    <cellStyle name="Normal 3 2 2 2 2" xfId="209"/>
    <cellStyle name="Normal 3 2 2 3" xfId="210"/>
    <cellStyle name="Normal 3 2 3" xfId="211"/>
    <cellStyle name="Normal 3 2 3 2" xfId="212"/>
    <cellStyle name="Normal 3 2 4" xfId="213"/>
    <cellStyle name="Normal 3 2 5" xfId="206"/>
    <cellStyle name="Normal 3 3" xfId="37"/>
    <cellStyle name="Normal 3 3 2" xfId="214"/>
    <cellStyle name="Normal 3 4" xfId="38"/>
    <cellStyle name="Normal 3 4 2" xfId="216"/>
    <cellStyle name="Normal 3 4 2 2" xfId="217"/>
    <cellStyle name="Normal 3 4 3" xfId="218"/>
    <cellStyle name="Normal 3 4 4" xfId="215"/>
    <cellStyle name="Normal 3 5" xfId="39"/>
    <cellStyle name="Normal 3 5 2" xfId="220"/>
    <cellStyle name="Normal 3 5 3" xfId="219"/>
    <cellStyle name="Normal 3 6" xfId="221"/>
    <cellStyle name="Normal 3 7" xfId="205"/>
    <cellStyle name="Normal 30" xfId="40"/>
    <cellStyle name="Normal 33" xfId="41"/>
    <cellStyle name="Normal 4" xfId="6"/>
    <cellStyle name="Normal 4 2" xfId="223"/>
    <cellStyle name="Normal 4 3" xfId="224"/>
    <cellStyle name="Normal 4 4" xfId="222"/>
    <cellStyle name="Normal 5" xfId="27"/>
    <cellStyle name="Normal 5 2" xfId="98"/>
    <cellStyle name="Normal 5 2 2" xfId="226"/>
    <cellStyle name="Normal 5 3" xfId="225"/>
    <cellStyle name="Normal 6" xfId="42"/>
    <cellStyle name="Normal 6 2" xfId="43"/>
    <cellStyle name="Normal 6 2 2" xfId="227"/>
    <cellStyle name="Normal 6 2 2 2" xfId="228"/>
    <cellStyle name="Normal 6 2 3" xfId="229"/>
    <cellStyle name="Normal 6 3" xfId="44"/>
    <cellStyle name="Normal 6 3 2" xfId="230"/>
    <cellStyle name="Normal 6 4" xfId="45"/>
    <cellStyle name="Normal 6 4 2" xfId="231"/>
    <cellStyle name="Normal 6 5" xfId="46"/>
    <cellStyle name="Normal 7" xfId="94"/>
    <cellStyle name="Normal 7 2" xfId="47"/>
    <cellStyle name="Normal 7 3" xfId="48"/>
    <cellStyle name="Normal 7 4" xfId="232"/>
    <cellStyle name="Normal 8" xfId="95"/>
    <cellStyle name="Normal 8 2" xfId="49"/>
    <cellStyle name="Normal 8 3" xfId="50"/>
    <cellStyle name="Normal 8 4" xfId="233"/>
    <cellStyle name="Normal 9" xfId="96"/>
    <cellStyle name="Normal 9 2" xfId="235"/>
    <cellStyle name="Normal 9 2 2" xfId="236"/>
    <cellStyle name="Normal 9 3" xfId="234"/>
    <cellStyle name="Normal_RESUL2003 2" xfId="5"/>
    <cellStyle name="Nota" xfId="67" builtinId="10" customBuiltin="1"/>
    <cellStyle name="Nota 2" xfId="237"/>
    <cellStyle name="Nota 3" xfId="238"/>
    <cellStyle name="Percentagem" xfId="1" builtinId="5"/>
    <cellStyle name="Percentagem 10" xfId="240"/>
    <cellStyle name="Percentagem 11" xfId="241"/>
    <cellStyle name="Percentagem 12" xfId="242"/>
    <cellStyle name="Percentagem 13" xfId="51"/>
    <cellStyle name="Percentagem 14" xfId="243"/>
    <cellStyle name="Percentagem 15" xfId="239"/>
    <cellStyle name="Percentagem 16" xfId="313"/>
    <cellStyle name="Percentagem 2" xfId="3"/>
    <cellStyle name="Percentagem 2 2" xfId="244"/>
    <cellStyle name="Percentagem 2 3" xfId="245"/>
    <cellStyle name="Percentagem 3" xfId="246"/>
    <cellStyle name="Percentagem 4" xfId="247"/>
    <cellStyle name="Percentagem 5" xfId="248"/>
    <cellStyle name="Percentagem 6" xfId="249"/>
    <cellStyle name="Percentagem 7" xfId="250"/>
    <cellStyle name="Percentagem 8" xfId="251"/>
    <cellStyle name="Percentagem 8 2" xfId="252"/>
    <cellStyle name="Percentagem 8 2 2" xfId="253"/>
    <cellStyle name="Percentagem 8 2 2 2" xfId="254"/>
    <cellStyle name="Percentagem 8 2 3" xfId="255"/>
    <cellStyle name="Percentagem 8 3" xfId="256"/>
    <cellStyle name="Percentagem 8 3 2" xfId="257"/>
    <cellStyle name="Percentagem 8 4" xfId="258"/>
    <cellStyle name="Percentagem 9" xfId="259"/>
    <cellStyle name="Saída" xfId="62" builtinId="21" customBuiltin="1"/>
    <cellStyle name="Saída 2" xfId="260"/>
    <cellStyle name="Texto de Aviso" xfId="66" builtinId="11" customBuiltin="1"/>
    <cellStyle name="Texto de Aviso 2" xfId="261"/>
    <cellStyle name="Texto Explicativo" xfId="68" builtinId="53" customBuiltin="1"/>
    <cellStyle name="Texto Explicativo 2" xfId="262"/>
    <cellStyle name="Título" xfId="53" builtinId="15" customBuiltin="1"/>
    <cellStyle name="Título 1" xfId="263"/>
    <cellStyle name="Título 2" xfId="264"/>
    <cellStyle name="Título 2 2" xfId="265"/>
    <cellStyle name="Título 3" xfId="266"/>
    <cellStyle name="Título 4" xfId="267"/>
    <cellStyle name="Total" xfId="69" builtinId="25" customBuiltin="1"/>
    <cellStyle name="Total 2" xfId="268"/>
    <cellStyle name="Verificar Célula" xfId="65" builtinId="23" customBuiltin="1"/>
    <cellStyle name="Verificar Célula 2" xfId="269"/>
    <cellStyle name="Vírgula" xfId="8" builtinId="3"/>
    <cellStyle name="Vírgula 10" xfId="271"/>
    <cellStyle name="Vírgula 11" xfId="272"/>
    <cellStyle name="Vírgula 12" xfId="273"/>
    <cellStyle name="Vírgula 13" xfId="274"/>
    <cellStyle name="Vírgula 14" xfId="275"/>
    <cellStyle name="Vírgula 15" xfId="276"/>
    <cellStyle name="Vírgula 16" xfId="270"/>
    <cellStyle name="Vírgula 17" xfId="314"/>
    <cellStyle name="Vírgula 2" xfId="4"/>
    <cellStyle name="Vírgula 2 2" xfId="278"/>
    <cellStyle name="Vírgula 2 3" xfId="279"/>
    <cellStyle name="Vírgula 2 3 2" xfId="280"/>
    <cellStyle name="Vírgula 2 3 2 2" xfId="281"/>
    <cellStyle name="Vírgula 2 3 2 2 2" xfId="282"/>
    <cellStyle name="Vírgula 2 3 2 3" xfId="283"/>
    <cellStyle name="Vírgula 2 3 3" xfId="284"/>
    <cellStyle name="Vírgula 2 3 3 2" xfId="285"/>
    <cellStyle name="Vírgula 2 3 4" xfId="286"/>
    <cellStyle name="Vírgula 2 4" xfId="277"/>
    <cellStyle name="Vírgula 3" xfId="29"/>
    <cellStyle name="Vírgula 3 2" xfId="288"/>
    <cellStyle name="Vírgula 3 3" xfId="289"/>
    <cellStyle name="Vírgula 3 3 2" xfId="290"/>
    <cellStyle name="Vírgula 3 3 2 2" xfId="291"/>
    <cellStyle name="Vírgula 3 3 2 2 2" xfId="292"/>
    <cellStyle name="Vírgula 3 3 2 3" xfId="293"/>
    <cellStyle name="Vírgula 3 3 3" xfId="294"/>
    <cellStyle name="Vírgula 3 3 3 2" xfId="295"/>
    <cellStyle name="Vírgula 3 3 4" xfId="296"/>
    <cellStyle name="Vírgula 3 4" xfId="287"/>
    <cellStyle name="Vírgula 4" xfId="297"/>
    <cellStyle name="Vírgula 41" xfId="52"/>
    <cellStyle name="Vírgula 5" xfId="298"/>
    <cellStyle name="Vírgula 6" xfId="299"/>
    <cellStyle name="Vírgula 7" xfId="300"/>
    <cellStyle name="Vírgula 8" xfId="301"/>
    <cellStyle name="Vírgula 8 2" xfId="302"/>
    <cellStyle name="Vírgula 8 2 2" xfId="303"/>
    <cellStyle name="Vírgula 8 2 2 2" xfId="304"/>
    <cellStyle name="Vírgula 8 2 3" xfId="305"/>
    <cellStyle name="Vírgula 8 3" xfId="306"/>
    <cellStyle name="Vírgula 8 3 2" xfId="307"/>
    <cellStyle name="Vírgula 8 4" xfId="308"/>
    <cellStyle name="Vírgula 9" xfId="309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50132742961691E-2"/>
          <c:y val="1.0778480787659785E-2"/>
          <c:w val="0.72293495908519911"/>
          <c:h val="0.9252153381587227"/>
        </c:manualLayout>
      </c:layout>
      <c:lineChart>
        <c:grouping val="standard"/>
        <c:varyColors val="0"/>
        <c:ser>
          <c:idx val="0"/>
          <c:order val="0"/>
          <c:tx>
            <c:strRef>
              <c:f>'Tx de Cambio exc. ESP e China'!$B$30</c:f>
              <c:strCache>
                <c:ptCount val="1"/>
                <c:pt idx="0">
                  <c:v>Taxa de Cambio Efetiva Nominal </c:v>
                </c:pt>
              </c:strCache>
            </c:strRef>
          </c:tx>
          <c:marker>
            <c:symbol val="none"/>
          </c:marker>
          <c:cat>
            <c:numRef>
              <c:f>'Tx de Cambio exc. ESP e China'!$C$1:$BG$1</c:f>
              <c:numCache>
                <c:formatCode>General</c:formatCode>
                <c:ptCount val="5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 formatCode="mmm\-yy">
                  <c:v>0</c:v>
                </c:pt>
                <c:pt idx="13" formatCode="mmm\-yy">
                  <c:v>0</c:v>
                </c:pt>
                <c:pt idx="14" formatCode="mmm\-yy">
                  <c:v>0</c:v>
                </c:pt>
                <c:pt idx="15" formatCode="mmm\-yy">
                  <c:v>0</c:v>
                </c:pt>
                <c:pt idx="16" formatCode="mmm\-yy">
                  <c:v>0</c:v>
                </c:pt>
                <c:pt idx="17" formatCode="mmm\-yy">
                  <c:v>0</c:v>
                </c:pt>
                <c:pt idx="18" formatCode="mmm\-yy">
                  <c:v>0</c:v>
                </c:pt>
                <c:pt idx="19" formatCode="mmm\-yy">
                  <c:v>0</c:v>
                </c:pt>
                <c:pt idx="20" formatCode="mmm\-yy">
                  <c:v>0</c:v>
                </c:pt>
                <c:pt idx="21" formatCode="mmm\-yy">
                  <c:v>0</c:v>
                </c:pt>
                <c:pt idx="22" formatCode="mmm\-yy">
                  <c:v>0</c:v>
                </c:pt>
                <c:pt idx="23" formatCode="mmm\-yy">
                  <c:v>0</c:v>
                </c:pt>
                <c:pt idx="24" formatCode="mmm\-yy">
                  <c:v>0</c:v>
                </c:pt>
                <c:pt idx="25" formatCode="mmm\-yy">
                  <c:v>0</c:v>
                </c:pt>
                <c:pt idx="26" formatCode="mmm\-yy">
                  <c:v>0</c:v>
                </c:pt>
                <c:pt idx="27" formatCode="mmm\-yy">
                  <c:v>0</c:v>
                </c:pt>
                <c:pt idx="28" formatCode="mmm\-yy">
                  <c:v>0</c:v>
                </c:pt>
                <c:pt idx="29" formatCode="mmm\-yy">
                  <c:v>0</c:v>
                </c:pt>
                <c:pt idx="30" formatCode="mmm\-yy">
                  <c:v>0</c:v>
                </c:pt>
                <c:pt idx="31" formatCode="mmm\-yy">
                  <c:v>0</c:v>
                </c:pt>
                <c:pt idx="32" formatCode="mmm\-yy">
                  <c:v>0</c:v>
                </c:pt>
                <c:pt idx="33" formatCode="mmm\-yy">
                  <c:v>0</c:v>
                </c:pt>
                <c:pt idx="34" formatCode="mmm\-yy">
                  <c:v>0</c:v>
                </c:pt>
                <c:pt idx="35" formatCode="mmm\-yy">
                  <c:v>0</c:v>
                </c:pt>
                <c:pt idx="36" formatCode="mmm\-yy">
                  <c:v>0</c:v>
                </c:pt>
                <c:pt idx="37" formatCode="mmm\-yy">
                  <c:v>0</c:v>
                </c:pt>
                <c:pt idx="38" formatCode="mmm\-yy">
                  <c:v>0</c:v>
                </c:pt>
                <c:pt idx="39" formatCode="mmm\-yy">
                  <c:v>0</c:v>
                </c:pt>
                <c:pt idx="40" formatCode="mmm\-yy">
                  <c:v>0</c:v>
                </c:pt>
                <c:pt idx="41" formatCode="mmm\-yy">
                  <c:v>0</c:v>
                </c:pt>
                <c:pt idx="42" formatCode="mmm\-yy">
                  <c:v>0</c:v>
                </c:pt>
                <c:pt idx="43" formatCode="mmm\-yy">
                  <c:v>0</c:v>
                </c:pt>
                <c:pt idx="44" formatCode="mmm\-yy">
                  <c:v>0</c:v>
                </c:pt>
                <c:pt idx="45" formatCode="mmm\-yy">
                  <c:v>0</c:v>
                </c:pt>
                <c:pt idx="46" formatCode="mmm\-yy">
                  <c:v>0</c:v>
                </c:pt>
                <c:pt idx="47" formatCode="mmm\-yy">
                  <c:v>0</c:v>
                </c:pt>
                <c:pt idx="48" formatCode="mmm\-yy">
                  <c:v>42370</c:v>
                </c:pt>
                <c:pt idx="49" formatCode="mmm\-yy">
                  <c:v>42401</c:v>
                </c:pt>
                <c:pt idx="50" formatCode="mmm\-yy">
                  <c:v>42430</c:v>
                </c:pt>
                <c:pt idx="51" formatCode="mmm\-yy">
                  <c:v>42461</c:v>
                </c:pt>
                <c:pt idx="52" formatCode="mmm\-yy">
                  <c:v>42491</c:v>
                </c:pt>
                <c:pt idx="53" formatCode="mmm\-yy">
                  <c:v>42522</c:v>
                </c:pt>
                <c:pt idx="54" formatCode="mmm\-yy">
                  <c:v>42552</c:v>
                </c:pt>
                <c:pt idx="55" formatCode="mmm\-yy">
                  <c:v>42583</c:v>
                </c:pt>
                <c:pt idx="56" formatCode="mmm\-yy">
                  <c:v>42614</c:v>
                </c:pt>
              </c:numCache>
            </c:numRef>
          </c:cat>
          <c:val>
            <c:numRef>
              <c:f>'Tx de Cambio exc. ESP e China'!$C$30:$BG$30</c:f>
              <c:numCache>
                <c:formatCode>0.00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A6-41C4-A931-AE20A7DAE455}"/>
            </c:ext>
          </c:extLst>
        </c:ser>
        <c:ser>
          <c:idx val="1"/>
          <c:order val="1"/>
          <c:tx>
            <c:strRef>
              <c:f>'Tx de Cambio exc. ESP e China'!$B$47</c:f>
              <c:strCache>
                <c:ptCount val="1"/>
                <c:pt idx="0">
                  <c:v>Taxa de Cambio Efetiva Real </c:v>
                </c:pt>
              </c:strCache>
            </c:strRef>
          </c:tx>
          <c:marker>
            <c:symbol val="none"/>
          </c:marker>
          <c:cat>
            <c:numRef>
              <c:f>'Tx de Cambio exc. ESP e China'!$C$1:$BG$1</c:f>
              <c:numCache>
                <c:formatCode>General</c:formatCode>
                <c:ptCount val="5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 formatCode="mmm\-yy">
                  <c:v>0</c:v>
                </c:pt>
                <c:pt idx="13" formatCode="mmm\-yy">
                  <c:v>0</c:v>
                </c:pt>
                <c:pt idx="14" formatCode="mmm\-yy">
                  <c:v>0</c:v>
                </c:pt>
                <c:pt idx="15" formatCode="mmm\-yy">
                  <c:v>0</c:v>
                </c:pt>
                <c:pt idx="16" formatCode="mmm\-yy">
                  <c:v>0</c:v>
                </c:pt>
                <c:pt idx="17" formatCode="mmm\-yy">
                  <c:v>0</c:v>
                </c:pt>
                <c:pt idx="18" formatCode="mmm\-yy">
                  <c:v>0</c:v>
                </c:pt>
                <c:pt idx="19" formatCode="mmm\-yy">
                  <c:v>0</c:v>
                </c:pt>
                <c:pt idx="20" formatCode="mmm\-yy">
                  <c:v>0</c:v>
                </c:pt>
                <c:pt idx="21" formatCode="mmm\-yy">
                  <c:v>0</c:v>
                </c:pt>
                <c:pt idx="22" formatCode="mmm\-yy">
                  <c:v>0</c:v>
                </c:pt>
                <c:pt idx="23" formatCode="mmm\-yy">
                  <c:v>0</c:v>
                </c:pt>
                <c:pt idx="24" formatCode="mmm\-yy">
                  <c:v>0</c:v>
                </c:pt>
                <c:pt idx="25" formatCode="mmm\-yy">
                  <c:v>0</c:v>
                </c:pt>
                <c:pt idx="26" formatCode="mmm\-yy">
                  <c:v>0</c:v>
                </c:pt>
                <c:pt idx="27" formatCode="mmm\-yy">
                  <c:v>0</c:v>
                </c:pt>
                <c:pt idx="28" formatCode="mmm\-yy">
                  <c:v>0</c:v>
                </c:pt>
                <c:pt idx="29" formatCode="mmm\-yy">
                  <c:v>0</c:v>
                </c:pt>
                <c:pt idx="30" formatCode="mmm\-yy">
                  <c:v>0</c:v>
                </c:pt>
                <c:pt idx="31" formatCode="mmm\-yy">
                  <c:v>0</c:v>
                </c:pt>
                <c:pt idx="32" formatCode="mmm\-yy">
                  <c:v>0</c:v>
                </c:pt>
                <c:pt idx="33" formatCode="mmm\-yy">
                  <c:v>0</c:v>
                </c:pt>
                <c:pt idx="34" formatCode="mmm\-yy">
                  <c:v>0</c:v>
                </c:pt>
                <c:pt idx="35" formatCode="mmm\-yy">
                  <c:v>0</c:v>
                </c:pt>
                <c:pt idx="36" formatCode="mmm\-yy">
                  <c:v>0</c:v>
                </c:pt>
                <c:pt idx="37" formatCode="mmm\-yy">
                  <c:v>0</c:v>
                </c:pt>
                <c:pt idx="38" formatCode="mmm\-yy">
                  <c:v>0</c:v>
                </c:pt>
                <c:pt idx="39" formatCode="mmm\-yy">
                  <c:v>0</c:v>
                </c:pt>
                <c:pt idx="40" formatCode="mmm\-yy">
                  <c:v>0</c:v>
                </c:pt>
                <c:pt idx="41" formatCode="mmm\-yy">
                  <c:v>0</c:v>
                </c:pt>
                <c:pt idx="42" formatCode="mmm\-yy">
                  <c:v>0</c:v>
                </c:pt>
                <c:pt idx="43" formatCode="mmm\-yy">
                  <c:v>0</c:v>
                </c:pt>
                <c:pt idx="44" formatCode="mmm\-yy">
                  <c:v>0</c:v>
                </c:pt>
                <c:pt idx="45" formatCode="mmm\-yy">
                  <c:v>0</c:v>
                </c:pt>
                <c:pt idx="46" formatCode="mmm\-yy">
                  <c:v>0</c:v>
                </c:pt>
                <c:pt idx="47" formatCode="mmm\-yy">
                  <c:v>0</c:v>
                </c:pt>
                <c:pt idx="48" formatCode="mmm\-yy">
                  <c:v>42370</c:v>
                </c:pt>
                <c:pt idx="49" formatCode="mmm\-yy">
                  <c:v>42401</c:v>
                </c:pt>
                <c:pt idx="50" formatCode="mmm\-yy">
                  <c:v>42430</c:v>
                </c:pt>
                <c:pt idx="51" formatCode="mmm\-yy">
                  <c:v>42461</c:v>
                </c:pt>
                <c:pt idx="52" formatCode="mmm\-yy">
                  <c:v>42491</c:v>
                </c:pt>
                <c:pt idx="53" formatCode="mmm\-yy">
                  <c:v>42522</c:v>
                </c:pt>
                <c:pt idx="54" formatCode="mmm\-yy">
                  <c:v>42552</c:v>
                </c:pt>
                <c:pt idx="55" formatCode="mmm\-yy">
                  <c:v>42583</c:v>
                </c:pt>
                <c:pt idx="56" formatCode="mmm\-yy">
                  <c:v>42614</c:v>
                </c:pt>
              </c:numCache>
            </c:numRef>
          </c:cat>
          <c:val>
            <c:numRef>
              <c:f>'Tx de Cambio exc. ESP e China'!$C$47:$BG$47</c:f>
              <c:numCache>
                <c:formatCode>#,##0.00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A6-41C4-A931-AE20A7DAE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573376"/>
        <c:axId val="63595648"/>
      </c:lineChart>
      <c:catAx>
        <c:axId val="6357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PT"/>
          </a:p>
        </c:txPr>
        <c:crossAx val="63595648"/>
        <c:crosses val="autoZero"/>
        <c:auto val="1"/>
        <c:lblAlgn val="ctr"/>
        <c:lblOffset val="100"/>
        <c:noMultiLvlLbl val="0"/>
      </c:catAx>
      <c:valAx>
        <c:axId val="63595648"/>
        <c:scaling>
          <c:orientation val="minMax"/>
          <c:max val="1100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crossAx val="63573376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73812428376035E-2"/>
          <c:y val="2.8360432218699935E-2"/>
          <c:w val="0.64138355944943504"/>
          <c:h val="0.8826533047005485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'Tx de Cambio exc. ESP e China'!$C$1:$BG$1</c:f>
              <c:numCache>
                <c:formatCode>General</c:formatCode>
                <c:ptCount val="5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 formatCode="mmm\-yy">
                  <c:v>0</c:v>
                </c:pt>
                <c:pt idx="13" formatCode="mmm\-yy">
                  <c:v>0</c:v>
                </c:pt>
                <c:pt idx="14" formatCode="mmm\-yy">
                  <c:v>0</c:v>
                </c:pt>
                <c:pt idx="15" formatCode="mmm\-yy">
                  <c:v>0</c:v>
                </c:pt>
                <c:pt idx="16" formatCode="mmm\-yy">
                  <c:v>0</c:v>
                </c:pt>
                <c:pt idx="17" formatCode="mmm\-yy">
                  <c:v>0</c:v>
                </c:pt>
                <c:pt idx="18" formatCode="mmm\-yy">
                  <c:v>0</c:v>
                </c:pt>
                <c:pt idx="19" formatCode="mmm\-yy">
                  <c:v>0</c:v>
                </c:pt>
                <c:pt idx="20" formatCode="mmm\-yy">
                  <c:v>0</c:v>
                </c:pt>
                <c:pt idx="21" formatCode="mmm\-yy">
                  <c:v>0</c:v>
                </c:pt>
                <c:pt idx="22" formatCode="mmm\-yy">
                  <c:v>0</c:v>
                </c:pt>
                <c:pt idx="23" formatCode="mmm\-yy">
                  <c:v>0</c:v>
                </c:pt>
                <c:pt idx="24" formatCode="mmm\-yy">
                  <c:v>0</c:v>
                </c:pt>
                <c:pt idx="25" formatCode="mmm\-yy">
                  <c:v>0</c:v>
                </c:pt>
                <c:pt idx="26" formatCode="mmm\-yy">
                  <c:v>0</c:v>
                </c:pt>
                <c:pt idx="27" formatCode="mmm\-yy">
                  <c:v>0</c:v>
                </c:pt>
                <c:pt idx="28" formatCode="mmm\-yy">
                  <c:v>0</c:v>
                </c:pt>
                <c:pt idx="29" formatCode="mmm\-yy">
                  <c:v>0</c:v>
                </c:pt>
                <c:pt idx="30" formatCode="mmm\-yy">
                  <c:v>0</c:v>
                </c:pt>
                <c:pt idx="31" formatCode="mmm\-yy">
                  <c:v>0</c:v>
                </c:pt>
                <c:pt idx="32" formatCode="mmm\-yy">
                  <c:v>0</c:v>
                </c:pt>
                <c:pt idx="33" formatCode="mmm\-yy">
                  <c:v>0</c:v>
                </c:pt>
                <c:pt idx="34" formatCode="mmm\-yy">
                  <c:v>0</c:v>
                </c:pt>
                <c:pt idx="35" formatCode="mmm\-yy">
                  <c:v>0</c:v>
                </c:pt>
                <c:pt idx="36" formatCode="mmm\-yy">
                  <c:v>0</c:v>
                </c:pt>
                <c:pt idx="37" formatCode="mmm\-yy">
                  <c:v>0</c:v>
                </c:pt>
                <c:pt idx="38" formatCode="mmm\-yy">
                  <c:v>0</c:v>
                </c:pt>
                <c:pt idx="39" formatCode="mmm\-yy">
                  <c:v>0</c:v>
                </c:pt>
                <c:pt idx="40" formatCode="mmm\-yy">
                  <c:v>0</c:v>
                </c:pt>
                <c:pt idx="41" formatCode="mmm\-yy">
                  <c:v>0</c:v>
                </c:pt>
                <c:pt idx="42" formatCode="mmm\-yy">
                  <c:v>0</c:v>
                </c:pt>
                <c:pt idx="43" formatCode="mmm\-yy">
                  <c:v>0</c:v>
                </c:pt>
                <c:pt idx="44" formatCode="mmm\-yy">
                  <c:v>0</c:v>
                </c:pt>
                <c:pt idx="45" formatCode="mmm\-yy">
                  <c:v>0</c:v>
                </c:pt>
                <c:pt idx="46" formatCode="mmm\-yy">
                  <c:v>0</c:v>
                </c:pt>
                <c:pt idx="47" formatCode="mmm\-yy">
                  <c:v>0</c:v>
                </c:pt>
                <c:pt idx="48" formatCode="mmm\-yy">
                  <c:v>42370</c:v>
                </c:pt>
                <c:pt idx="49" formatCode="mmm\-yy">
                  <c:v>42401</c:v>
                </c:pt>
                <c:pt idx="50" formatCode="mmm\-yy">
                  <c:v>42430</c:v>
                </c:pt>
                <c:pt idx="51" formatCode="mmm\-yy">
                  <c:v>42461</c:v>
                </c:pt>
                <c:pt idx="52" formatCode="mmm\-yy">
                  <c:v>42491</c:v>
                </c:pt>
                <c:pt idx="53" formatCode="mmm\-yy">
                  <c:v>42522</c:v>
                </c:pt>
                <c:pt idx="54" formatCode="mmm\-yy">
                  <c:v>42552</c:v>
                </c:pt>
                <c:pt idx="55" formatCode="mmm\-yy">
                  <c:v>42583</c:v>
                </c:pt>
                <c:pt idx="56" formatCode="mmm\-yy">
                  <c:v>42614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BE8-45F4-97A6-62FAADA63A7E}"/>
            </c:ext>
          </c:extLst>
        </c:ser>
        <c:ser>
          <c:idx val="1"/>
          <c:order val="1"/>
          <c:marker>
            <c:symbol val="none"/>
          </c:marker>
          <c:cat>
            <c:numRef>
              <c:f>'Tx de Cambio exc. ESP e China'!$C$1:$BG$1</c:f>
              <c:numCache>
                <c:formatCode>General</c:formatCode>
                <c:ptCount val="5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 formatCode="mmm\-yy">
                  <c:v>0</c:v>
                </c:pt>
                <c:pt idx="13" formatCode="mmm\-yy">
                  <c:v>0</c:v>
                </c:pt>
                <c:pt idx="14" formatCode="mmm\-yy">
                  <c:v>0</c:v>
                </c:pt>
                <c:pt idx="15" formatCode="mmm\-yy">
                  <c:v>0</c:v>
                </c:pt>
                <c:pt idx="16" formatCode="mmm\-yy">
                  <c:v>0</c:v>
                </c:pt>
                <c:pt idx="17" formatCode="mmm\-yy">
                  <c:v>0</c:v>
                </c:pt>
                <c:pt idx="18" formatCode="mmm\-yy">
                  <c:v>0</c:v>
                </c:pt>
                <c:pt idx="19" formatCode="mmm\-yy">
                  <c:v>0</c:v>
                </c:pt>
                <c:pt idx="20" formatCode="mmm\-yy">
                  <c:v>0</c:v>
                </c:pt>
                <c:pt idx="21" formatCode="mmm\-yy">
                  <c:v>0</c:v>
                </c:pt>
                <c:pt idx="22" formatCode="mmm\-yy">
                  <c:v>0</c:v>
                </c:pt>
                <c:pt idx="23" formatCode="mmm\-yy">
                  <c:v>0</c:v>
                </c:pt>
                <c:pt idx="24" formatCode="mmm\-yy">
                  <c:v>0</c:v>
                </c:pt>
                <c:pt idx="25" formatCode="mmm\-yy">
                  <c:v>0</c:v>
                </c:pt>
                <c:pt idx="26" formatCode="mmm\-yy">
                  <c:v>0</c:v>
                </c:pt>
                <c:pt idx="27" formatCode="mmm\-yy">
                  <c:v>0</c:v>
                </c:pt>
                <c:pt idx="28" formatCode="mmm\-yy">
                  <c:v>0</c:v>
                </c:pt>
                <c:pt idx="29" formatCode="mmm\-yy">
                  <c:v>0</c:v>
                </c:pt>
                <c:pt idx="30" formatCode="mmm\-yy">
                  <c:v>0</c:v>
                </c:pt>
                <c:pt idx="31" formatCode="mmm\-yy">
                  <c:v>0</c:v>
                </c:pt>
                <c:pt idx="32" formatCode="mmm\-yy">
                  <c:v>0</c:v>
                </c:pt>
                <c:pt idx="33" formatCode="mmm\-yy">
                  <c:v>0</c:v>
                </c:pt>
                <c:pt idx="34" formatCode="mmm\-yy">
                  <c:v>0</c:v>
                </c:pt>
                <c:pt idx="35" formatCode="mmm\-yy">
                  <c:v>0</c:v>
                </c:pt>
                <c:pt idx="36" formatCode="mmm\-yy">
                  <c:v>0</c:v>
                </c:pt>
                <c:pt idx="37" formatCode="mmm\-yy">
                  <c:v>0</c:v>
                </c:pt>
                <c:pt idx="38" formatCode="mmm\-yy">
                  <c:v>0</c:v>
                </c:pt>
                <c:pt idx="39" formatCode="mmm\-yy">
                  <c:v>0</c:v>
                </c:pt>
                <c:pt idx="40" formatCode="mmm\-yy">
                  <c:v>0</c:v>
                </c:pt>
                <c:pt idx="41" formatCode="mmm\-yy">
                  <c:v>0</c:v>
                </c:pt>
                <c:pt idx="42" formatCode="mmm\-yy">
                  <c:v>0</c:v>
                </c:pt>
                <c:pt idx="43" formatCode="mmm\-yy">
                  <c:v>0</c:v>
                </c:pt>
                <c:pt idx="44" formatCode="mmm\-yy">
                  <c:v>0</c:v>
                </c:pt>
                <c:pt idx="45" formatCode="mmm\-yy">
                  <c:v>0</c:v>
                </c:pt>
                <c:pt idx="46" formatCode="mmm\-yy">
                  <c:v>0</c:v>
                </c:pt>
                <c:pt idx="47" formatCode="mmm\-yy">
                  <c:v>0</c:v>
                </c:pt>
                <c:pt idx="48" formatCode="mmm\-yy">
                  <c:v>42370</c:v>
                </c:pt>
                <c:pt idx="49" formatCode="mmm\-yy">
                  <c:v>42401</c:v>
                </c:pt>
                <c:pt idx="50" formatCode="mmm\-yy">
                  <c:v>42430</c:v>
                </c:pt>
                <c:pt idx="51" formatCode="mmm\-yy">
                  <c:v>42461</c:v>
                </c:pt>
                <c:pt idx="52" formatCode="mmm\-yy">
                  <c:v>42491</c:v>
                </c:pt>
                <c:pt idx="53" formatCode="mmm\-yy">
                  <c:v>42522</c:v>
                </c:pt>
                <c:pt idx="54" formatCode="mmm\-yy">
                  <c:v>42552</c:v>
                </c:pt>
                <c:pt idx="55" formatCode="mmm\-yy">
                  <c:v>42583</c:v>
                </c:pt>
                <c:pt idx="56" formatCode="mmm\-yy">
                  <c:v>42614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BE8-45F4-97A6-62FAADA63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08704"/>
        <c:axId val="63610240"/>
      </c:lineChart>
      <c:catAx>
        <c:axId val="6360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610240"/>
        <c:crosses val="autoZero"/>
        <c:auto val="1"/>
        <c:lblAlgn val="ctr"/>
        <c:lblOffset val="100"/>
        <c:noMultiLvlLbl val="0"/>
      </c:catAx>
      <c:valAx>
        <c:axId val="63610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3608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</xdr:row>
      <xdr:rowOff>66675</xdr:rowOff>
    </xdr:from>
    <xdr:to>
      <xdr:col>2</xdr:col>
      <xdr:colOff>609598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6225"/>
          <a:ext cx="485773" cy="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28576</xdr:rowOff>
    </xdr:from>
    <xdr:to>
      <xdr:col>3</xdr:col>
      <xdr:colOff>161925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0299" y="359529"/>
          <a:ext cx="561329" cy="44460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28576</xdr:rowOff>
    </xdr:from>
    <xdr:to>
      <xdr:col>3</xdr:col>
      <xdr:colOff>161925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2550" y="361951"/>
          <a:ext cx="561975" cy="43814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28576</xdr:rowOff>
    </xdr:from>
    <xdr:to>
      <xdr:col>3</xdr:col>
      <xdr:colOff>161925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2550" y="361951"/>
          <a:ext cx="561975" cy="438149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561974</xdr:colOff>
      <xdr:row>2</xdr:row>
      <xdr:rowOff>114299</xdr:rowOff>
    </xdr:from>
    <xdr:to>
      <xdr:col>33</xdr:col>
      <xdr:colOff>514350</xdr:colOff>
      <xdr:row>43</xdr:row>
      <xdr:rowOff>123825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552450</xdr:colOff>
      <xdr:row>2</xdr:row>
      <xdr:rowOff>95249</xdr:rowOff>
    </xdr:from>
    <xdr:to>
      <xdr:col>16</xdr:col>
      <xdr:colOff>438149</xdr:colOff>
      <xdr:row>43</xdr:row>
      <xdr:rowOff>123824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0.00229</cdr:x>
      <cdr:y>0.00324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0.30346</cdr:x>
      <cdr:y>0.02061</cdr:y>
    </cdr:from>
    <cdr:to>
      <cdr:x>0.68394</cdr:x>
      <cdr:y>0.17968</cdr:y>
    </cdr:to>
    <cdr:sp macro="" textlink="">
      <cdr:nvSpPr>
        <cdr:cNvPr id="3" name="Text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45331" y="161191"/>
          <a:ext cx="3692964" cy="1243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45720" tIns="36576" rIns="45720" bIns="36576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lnSpc>
              <a:spcPts val="2800"/>
            </a:lnSpc>
            <a:defRPr sz="1000"/>
          </a:pPr>
          <a:r>
            <a:rPr lang="pt-PT" sz="1400" b="0" i="1" strike="noStrike">
              <a:solidFill>
                <a:srgbClr val="000000"/>
              </a:solidFill>
              <a:latin typeface="Calibri"/>
              <a:cs typeface="Arial"/>
            </a:rPr>
            <a:t>Depreciação: (-) ; Apreciação: (+)</a:t>
          </a:r>
        </a:p>
        <a:p xmlns:a="http://schemas.openxmlformats.org/drawingml/2006/main">
          <a:pPr algn="ctr" rtl="0">
            <a:lnSpc>
              <a:spcPts val="2800"/>
            </a:lnSpc>
            <a:defRPr sz="1000"/>
          </a:pPr>
          <a:r>
            <a:rPr lang="pt-PT" sz="1400" b="0" i="1" strike="noStrike">
              <a:solidFill>
                <a:srgbClr val="000000"/>
              </a:solidFill>
              <a:latin typeface="Calibri"/>
              <a:cs typeface="Arial"/>
            </a:rPr>
            <a:t>(Índices, base 100: Dez2014)</a:t>
          </a:r>
        </a:p>
        <a:p xmlns:a="http://schemas.openxmlformats.org/drawingml/2006/main">
          <a:pPr algn="ctr" rtl="0">
            <a:lnSpc>
              <a:spcPts val="2800"/>
            </a:lnSpc>
            <a:defRPr sz="1000"/>
          </a:pPr>
          <a:r>
            <a:rPr lang="pt-PT" sz="1400" b="1" i="1" strike="noStrike">
              <a:solidFill>
                <a:srgbClr val="000000"/>
              </a:solidFill>
              <a:latin typeface="Calibri"/>
              <a:cs typeface="Arial"/>
            </a:rPr>
            <a:t>Exclui</a:t>
          </a:r>
          <a:r>
            <a:rPr lang="pt-PT" sz="1400" b="1" i="1" strike="noStrike" baseline="0">
              <a:solidFill>
                <a:srgbClr val="000000"/>
              </a:solidFill>
              <a:latin typeface="Calibri"/>
              <a:cs typeface="Arial"/>
            </a:rPr>
            <a:t> os parceiros China e Espanha </a:t>
          </a:r>
          <a:endParaRPr lang="pt-PT" sz="1400" b="1" i="1" strike="noStrike">
            <a:solidFill>
              <a:srgbClr val="000000"/>
            </a:solidFill>
            <a:latin typeface="Calibri"/>
            <a:cs typeface="Arial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0.003</cdr:x>
      <cdr:y>0.00416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0.31573</cdr:x>
      <cdr:y>0.07143</cdr:y>
    </cdr:from>
    <cdr:to>
      <cdr:x>0.82394</cdr:x>
      <cdr:y>0.37013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562225" y="419100"/>
          <a:ext cx="4124325" cy="1752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PT" sz="1100"/>
        </a:p>
      </cdr:txBody>
    </cdr:sp>
  </cdr:relSizeAnchor>
  <cdr:relSizeAnchor xmlns:cdr="http://schemas.openxmlformats.org/drawingml/2006/chartDrawing">
    <cdr:from>
      <cdr:x>0.45423</cdr:x>
      <cdr:y>0.06656</cdr:y>
    </cdr:from>
    <cdr:to>
      <cdr:x>0.90845</cdr:x>
      <cdr:y>0.2776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686175" y="390525"/>
          <a:ext cx="3686175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PT" sz="1100"/>
        </a:p>
      </cdr:txBody>
    </cdr:sp>
  </cdr:relSizeAnchor>
  <cdr:relSizeAnchor xmlns:cdr="http://schemas.openxmlformats.org/drawingml/2006/chartDrawing">
    <cdr:from>
      <cdr:x>0.32042</cdr:x>
      <cdr:y>0.04545</cdr:y>
    </cdr:from>
    <cdr:to>
      <cdr:x>0.82277</cdr:x>
      <cdr:y>0.20617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2600325" y="266700"/>
          <a:ext cx="4076700" cy="942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pt-PT" sz="1600" b="0" i="1">
              <a:latin typeface="+mn-lt"/>
              <a:ea typeface="+mn-ea"/>
              <a:cs typeface="+mn-cs"/>
            </a:rPr>
            <a:t>Depreciação: (-) ; Apreciação: (+)</a:t>
          </a:r>
          <a:endParaRPr lang="pt-PT" sz="1600"/>
        </a:p>
        <a:p xmlns:a="http://schemas.openxmlformats.org/drawingml/2006/main">
          <a:pPr algn="ctr" rtl="0"/>
          <a:r>
            <a:rPr lang="pt-PT" sz="1600" b="0" i="1">
              <a:latin typeface="+mn-lt"/>
              <a:ea typeface="+mn-ea"/>
              <a:cs typeface="+mn-cs"/>
            </a:rPr>
            <a:t>(Índices, base 100: Dez2014)</a:t>
          </a:r>
          <a:endParaRPr lang="pt-PT" sz="1600"/>
        </a:p>
        <a:p xmlns:a="http://schemas.openxmlformats.org/drawingml/2006/main">
          <a:endParaRPr lang="pt-PT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199;A%20COMERCIAL%20FOB%202014\Estatistica%20de%20INE%20balan&#231;a%20comercial%20Janeiro-Fevereiro%20201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231;a%20comercial%20%20de%20M&#202;S%20de%20Maio%2020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231;a%20Comercial%20julho%202015(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231;a%20Comercial%20Agosto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231;a%20comercial%20de%20Setembro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231;a%20Comercial%20(Apontamentos%20e%20Exercicios)\Balan&#231;a%20Comercial%202015%20Outubro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231;a%20Comercial%20-%20Fonte%20INE\Balan&#231;a%20comercial%20de%20Dezembro%202015%20IN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199;A%20COMERCIAL%20FOB%202014\Estat&#237;sticas%20do%20INE%20para%20Balan&#231;a%20Comercial%20de%20Agosto%20%20201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estatistica%20do%20INE%20para%20a%20%20Balan&#231;a%20comercial%20%20de%20Mar&#231;o%20201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231;a%20comercial%20de%20Abril%20201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231;a%20Comercial%20de%20Junho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199;A%20COMERCIAL%20FOB%202014\Estat&#237;sticas%20do%20INE%20para%20Balan&#231;a%20Comercial%20Mar&#231;o-Abril%20201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231;a%20Comercial%20-%20Fonte%20INE\Balan&#231;a%20comercial%20de%20Novembro%202015%20INE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231;a%20Comercial%20(Apontamentos%20e%20Exercicios)\Alsis\BALAN&#199;A%20COMERCIAL%20FOB%20NOVA%20ESTRUTURA-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231;a%20Comercial%20(Apontamentos%20e%20Exercicios)\BALAN&#199;A%20COMERCIAL%20FOB%20NOVA%20ESTRUTURA-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Taxas%20de%20c&#226;mbio%20efetiva%20nominal\Ficheiro%20Taxa%20de%20C&#226;mbio.definitivo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sis\AT\Estat&#237;sticas\Taxas%20de%20c&#226;mbio%20efectiva%20nominal\2017\Ficheiro%20Taxa%20de%20C&#226;mbio.definitivo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sis\AT\Estat&#237;sticas\Estatistica%20de%20Cambio%20B.%20Central%20e%20B.%20Comercial\2016\ESTATISTICA%20DE%20C&#194;MBIO-%20Publica&#231;&#227;o%20201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sis\Desktop\Estat&#237;sticas\Estatistica%20de%20Cambio%20B.%20Central%20e%20B.%20Comercial\2016\ESTATISTICA%20DE%20C&#194;MBIO-%20Publica&#231;&#227;o%20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Cambio%20B.%20Central%20e%20B.%20Comercial\ESTATISTICA%20DE%20C&#194;MBIO-%20Publica&#231;&#227;o%20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sis\AT\Estat&#237;sticas\Taxas%20de%20c&#226;mbio%20efectiva%20nominal\2017\Taxa%20de%20C&#226;mbio%20Efectiva(Base%20Dez%202014)%20-%20Sem%20China%20e%20Espanha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soares.BCSTP\DEEF\TAREFAS%20DS\Estatistisca%20de%20Cambio%20B.%20Central%20e%20B.%20Comercial\ESTATISTICA%20DE%20C&#194;MBIO-%20Publica&#231;&#227;o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199;A%20COMERCIAL%20FOB%202014\balan&#231;a%20comercial%20dos%20meses%20de%20maio%20e%20junh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Cruz\Desktop\Cambio%20Materia%20de%20Estudo\ESTATISTICA%20DE%20C&#194;MBIO-%20Publica&#231;&#227;o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199;A%20COMERCIAL%20FOB%202014\Estat&#237;sticas%20do%20INE%20para%20Balan&#231;a%20comercial%20do%20M&#234;s%20de%20Julho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199;A%20COMERCIAL%20FOB%202014\Estatistica%20de%20INE%20balan&#231;a%20comercial%20Setemb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199;A%20COMERCIAL%20FOB%202014\Nova%20pasta(from%20Diovisio\Balan&#231;a%20comercia%20do%20M&#234;s%20de%20outubro%20e%20novembro%20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199;A%20COMERCIAL%20FOB%202014\Estat&#237;sticas%20do%20INE%20para%20Balan&#231;a%20Comercial%20de%20Dezembro%20%20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Estatistica%20do%20INE%20p%20Balan&#231;a%20Comercial%20de%20janeiro%20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Estatistica%20do%20INE%20p%20%20Balan&#231;a%20comercial%20de%20Fevereiro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de impor de janeiro   "/>
      <sheetName val="produtos_fob"/>
      <sheetName val="frete"/>
      <sheetName val="geo_fob"/>
      <sheetName val="Folha9"/>
      <sheetName val="combustivel"/>
      <sheetName val="Imp.geo.cif"/>
      <sheetName val="ImportJaneiro e Fevereiro2014"/>
      <sheetName val="Quadro de Janeiro"/>
      <sheetName val="Quadro de Fevereiro"/>
      <sheetName val="tabela de export"/>
      <sheetName val="geo_prod x"/>
      <sheetName val="x_geo"/>
      <sheetName val="ExpoJaneiro e Fevereiro2014 (2)"/>
      <sheetName val="rexportacao"/>
      <sheetName val="Folha2"/>
      <sheetName val="Folha1"/>
      <sheetName val="reexportacao_jan e fev"/>
      <sheetName val="OutrJaneiro e Fevereiro2014 (3)"/>
      <sheetName val="OutrJaneiro e Fevereiro2014 (5)"/>
      <sheetName val="donativos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E5">
            <v>597.63496416353144</v>
          </cell>
        </row>
        <row r="6">
          <cell r="E6">
            <v>32744.453446255782</v>
          </cell>
        </row>
        <row r="7">
          <cell r="E7">
            <v>2932379.6420050766</v>
          </cell>
        </row>
        <row r="10">
          <cell r="E10">
            <v>264728.52088404901</v>
          </cell>
        </row>
        <row r="11">
          <cell r="E11">
            <v>29842.154581091076</v>
          </cell>
        </row>
        <row r="13">
          <cell r="E13">
            <v>14519.634642968111</v>
          </cell>
        </row>
        <row r="14">
          <cell r="E14">
            <v>606290.63538745651</v>
          </cell>
        </row>
        <row r="15">
          <cell r="E15">
            <v>63225.861584641338</v>
          </cell>
        </row>
        <row r="16">
          <cell r="E16">
            <v>96495.881910461554</v>
          </cell>
        </row>
        <row r="17">
          <cell r="E17">
            <v>42818.534686621984</v>
          </cell>
        </row>
        <row r="18">
          <cell r="E18">
            <v>1250081.3751910198</v>
          </cell>
        </row>
        <row r="19">
          <cell r="E19">
            <v>110180.84626715181</v>
          </cell>
        </row>
        <row r="20">
          <cell r="E20">
            <v>51256.339056535362</v>
          </cell>
        </row>
        <row r="22">
          <cell r="E22">
            <v>144712.21519430942</v>
          </cell>
        </row>
        <row r="23">
          <cell r="E23">
            <v>3354.5881551738121</v>
          </cell>
        </row>
        <row r="24">
          <cell r="E24">
            <v>627261.54518176545</v>
          </cell>
        </row>
        <row r="26">
          <cell r="E26">
            <v>4793.0035138337544</v>
          </cell>
        </row>
        <row r="27">
          <cell r="E27">
            <v>44753.532183836367</v>
          </cell>
        </row>
        <row r="29">
          <cell r="E29">
            <v>7383834.6059919987</v>
          </cell>
        </row>
        <row r="30">
          <cell r="E30">
            <v>16.225335696124848</v>
          </cell>
        </row>
        <row r="31">
          <cell r="E31">
            <v>457.83228411335438</v>
          </cell>
        </row>
        <row r="32">
          <cell r="E32">
            <v>14393.404952921692</v>
          </cell>
        </row>
        <row r="33">
          <cell r="G33">
            <v>381206.43742953154</v>
          </cell>
        </row>
        <row r="36">
          <cell r="E36">
            <v>52164.328834638116</v>
          </cell>
        </row>
        <row r="37">
          <cell r="E37">
            <v>23753.020360264305</v>
          </cell>
        </row>
        <row r="38">
          <cell r="E38">
            <v>2860569.6569237956</v>
          </cell>
        </row>
        <row r="39">
          <cell r="E39">
            <v>129826.4435126544</v>
          </cell>
        </row>
        <row r="40">
          <cell r="E40">
            <v>2246.1295810041656</v>
          </cell>
        </row>
        <row r="42">
          <cell r="E42">
            <v>3125.5558480457112</v>
          </cell>
        </row>
        <row r="44">
          <cell r="E44">
            <v>102716.40136089033</v>
          </cell>
        </row>
        <row r="45">
          <cell r="E45">
            <v>36093.326892405166</v>
          </cell>
        </row>
        <row r="46">
          <cell r="E46">
            <v>123159.67162326875</v>
          </cell>
        </row>
        <row r="47">
          <cell r="E47">
            <v>162465.42421641518</v>
          </cell>
        </row>
        <row r="48">
          <cell r="E48">
            <v>165074.00598818291</v>
          </cell>
        </row>
        <row r="51">
          <cell r="E51">
            <v>1383.3709023419615</v>
          </cell>
        </row>
        <row r="52">
          <cell r="E52">
            <v>550.31876511147937</v>
          </cell>
        </row>
        <row r="54">
          <cell r="E54">
            <v>811.55816633743109</v>
          </cell>
        </row>
        <row r="56">
          <cell r="E56">
            <v>9484.4234244796571</v>
          </cell>
        </row>
        <row r="58">
          <cell r="E58">
            <v>6495786.400332259</v>
          </cell>
        </row>
        <row r="60">
          <cell r="E60">
            <v>8341.4144676445667</v>
          </cell>
        </row>
        <row r="61">
          <cell r="E61">
            <v>722.43804431742024</v>
          </cell>
        </row>
        <row r="62">
          <cell r="G62">
            <v>102969.87343410235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 Prod"/>
      <sheetName val="Combustivel"/>
      <sheetName val="Importa Geog"/>
      <sheetName val="Reexp"/>
      <sheetName val="Exp Prod"/>
      <sheetName val="Exp Geog"/>
      <sheetName val="Frete"/>
      <sheetName val="Donativos"/>
      <sheetName val="Maio2015"/>
      <sheetName val="Imp.geo.cif"/>
      <sheetName val="Importação (2)"/>
      <sheetName val="teste"/>
      <sheetName val="Reexportação"/>
      <sheetName val="Quadros"/>
      <sheetName val="Folha18"/>
      <sheetName val="Exportação2"/>
      <sheetName val="Folha13"/>
      <sheetName val="Outros Rgim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E5">
            <v>3863.6150232635355</v>
          </cell>
        </row>
        <row r="6">
          <cell r="E6">
            <v>26793.611792840129</v>
          </cell>
        </row>
        <row r="7">
          <cell r="E7">
            <v>3593767.3874848015</v>
          </cell>
        </row>
        <row r="9">
          <cell r="E9">
            <v>43682.387103431873</v>
          </cell>
        </row>
        <row r="10">
          <cell r="E10">
            <v>97214.090164706722</v>
          </cell>
        </row>
        <row r="13">
          <cell r="E13">
            <v>7229.7011409676015</v>
          </cell>
        </row>
        <row r="14">
          <cell r="E14">
            <v>342779.16139105643</v>
          </cell>
        </row>
        <row r="15">
          <cell r="E15">
            <v>93934.807946841611</v>
          </cell>
        </row>
        <row r="16">
          <cell r="E16">
            <v>156509.97617562735</v>
          </cell>
        </row>
        <row r="17">
          <cell r="E17">
            <v>35760.637694105826</v>
          </cell>
        </row>
        <row r="18">
          <cell r="E18">
            <v>44519.261623915903</v>
          </cell>
        </row>
        <row r="19">
          <cell r="E19">
            <v>413572.77789493045</v>
          </cell>
        </row>
        <row r="21">
          <cell r="E21">
            <v>6019.4453542473339</v>
          </cell>
        </row>
        <row r="22">
          <cell r="E22">
            <v>699438.86867880181</v>
          </cell>
        </row>
        <row r="24">
          <cell r="E24">
            <v>52411.781174707583</v>
          </cell>
        </row>
        <row r="26">
          <cell r="E26">
            <v>5448671.0939025767</v>
          </cell>
        </row>
        <row r="30">
          <cell r="E30">
            <v>5414.1431526240467</v>
          </cell>
        </row>
        <row r="37">
          <cell r="E37">
            <v>399730.65084058308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ros Regimes"/>
      <sheetName val="Julho"/>
      <sheetName val="Tabela Imp"/>
      <sheetName val="Quadros"/>
      <sheetName val="Impor Prod"/>
      <sheetName val="Imp Geo"/>
      <sheetName val="Combustivel"/>
      <sheetName val="EXp Prod"/>
      <sheetName val="Exp Geografica"/>
      <sheetName val="Frete"/>
      <sheetName val="Imp.geo.cif"/>
      <sheetName val="importação"/>
      <sheetName val="tabela de Export"/>
      <sheetName val="Exportação"/>
      <sheetName val="Folha4"/>
      <sheetName val="Reexp"/>
      <sheetName val="Reexporta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>
            <v>21627.201337925548</v>
          </cell>
        </row>
        <row r="6">
          <cell r="E6">
            <v>29109.855395160714</v>
          </cell>
        </row>
        <row r="7">
          <cell r="E7">
            <v>2663672.3107504942</v>
          </cell>
        </row>
        <row r="10">
          <cell r="E10">
            <v>42213.448842568767</v>
          </cell>
        </row>
        <row r="11">
          <cell r="E11">
            <v>32153.301043494615</v>
          </cell>
        </row>
        <row r="14">
          <cell r="E14">
            <v>890.99996480550146</v>
          </cell>
        </row>
        <row r="15">
          <cell r="E15">
            <v>303968.67573793716</v>
          </cell>
        </row>
        <row r="16">
          <cell r="E16">
            <v>671.37929913051778</v>
          </cell>
        </row>
        <row r="17">
          <cell r="E17">
            <v>127892.43389559891</v>
          </cell>
        </row>
        <row r="18">
          <cell r="E18">
            <v>117206.75030483336</v>
          </cell>
        </row>
        <row r="19">
          <cell r="E19">
            <v>76482.794746129613</v>
          </cell>
        </row>
        <row r="20">
          <cell r="E20">
            <v>67492.565496293668</v>
          </cell>
        </row>
        <row r="22">
          <cell r="F22">
            <v>115112.41715370952</v>
          </cell>
        </row>
        <row r="26">
          <cell r="E26">
            <v>34822.710742652926</v>
          </cell>
        </row>
        <row r="27">
          <cell r="E27">
            <v>31910.907577019152</v>
          </cell>
        </row>
        <row r="28">
          <cell r="E28">
            <v>9401.9652786223724</v>
          </cell>
        </row>
        <row r="32">
          <cell r="E32">
            <v>169621.19693371264</v>
          </cell>
        </row>
        <row r="33">
          <cell r="E33">
            <v>175511.52339164488</v>
          </cell>
        </row>
        <row r="35">
          <cell r="E35">
            <v>7488328.6273829248</v>
          </cell>
        </row>
        <row r="38">
          <cell r="E38">
            <v>9185.6905405652251</v>
          </cell>
        </row>
        <row r="39">
          <cell r="E39">
            <v>179285.67641821579</v>
          </cell>
        </row>
        <row r="40">
          <cell r="E40">
            <v>108829.11097360008</v>
          </cell>
        </row>
        <row r="47">
          <cell r="E47">
            <v>236581.0151073499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de expo"/>
      <sheetName val="Exportação (2)"/>
      <sheetName val="Imp.geo.cif"/>
      <sheetName val="Agosto 2015"/>
      <sheetName val="tabimport"/>
      <sheetName val="Importação (2)"/>
      <sheetName val="Quadro"/>
      <sheetName val="Outros Regimes"/>
      <sheetName val="Folha3"/>
      <sheetName val="Reexportação"/>
    </sheetNames>
    <sheetDataSet>
      <sheetData sheetId="0"/>
      <sheetData sheetId="1"/>
      <sheetData sheetId="2">
        <row r="7">
          <cell r="B7">
            <v>3651.6104477995355</v>
          </cell>
        </row>
        <row r="8">
          <cell r="B8">
            <v>60439.653443549258</v>
          </cell>
        </row>
        <row r="9">
          <cell r="B9">
            <v>3830752.0393056623</v>
          </cell>
        </row>
        <row r="11">
          <cell r="B11">
            <v>165378.41455989567</v>
          </cell>
        </row>
        <row r="12">
          <cell r="B12">
            <v>162148.34182621524</v>
          </cell>
        </row>
        <row r="14">
          <cell r="B14">
            <v>1064.150799691922</v>
          </cell>
        </row>
        <row r="16">
          <cell r="B16">
            <v>114991.93246074551</v>
          </cell>
        </row>
        <row r="17">
          <cell r="B17">
            <v>76132.8106459142</v>
          </cell>
        </row>
        <row r="18">
          <cell r="B18">
            <v>37034.720135994256</v>
          </cell>
        </row>
        <row r="19">
          <cell r="B19">
            <v>523665.51497870358</v>
          </cell>
        </row>
        <row r="20">
          <cell r="B20">
            <v>73151.545010471324</v>
          </cell>
        </row>
        <row r="21">
          <cell r="B21">
            <v>60961.975188797056</v>
          </cell>
        </row>
        <row r="22">
          <cell r="B22">
            <v>40594.049709835926</v>
          </cell>
        </row>
        <row r="23">
          <cell r="B23">
            <v>11711.636802998941</v>
          </cell>
        </row>
        <row r="24">
          <cell r="B24">
            <v>18374.031115179165</v>
          </cell>
        </row>
        <row r="28">
          <cell r="B28">
            <v>22740.660421277586</v>
          </cell>
        </row>
        <row r="29">
          <cell r="B29">
            <v>92086.827673139647</v>
          </cell>
        </row>
        <row r="31">
          <cell r="B31">
            <v>6719803.5856681801</v>
          </cell>
        </row>
        <row r="34">
          <cell r="B34">
            <v>212.79854090982224</v>
          </cell>
        </row>
        <row r="35">
          <cell r="B35">
            <v>57752.16017543694</v>
          </cell>
        </row>
        <row r="36">
          <cell r="B36">
            <v>1324.9706951634514</v>
          </cell>
        </row>
        <row r="37">
          <cell r="B37">
            <v>1500.7321139096234</v>
          </cell>
        </row>
        <row r="41">
          <cell r="B41">
            <v>336902.00002974417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ros regimes"/>
      <sheetName val="Quadros"/>
      <sheetName val="tab reexp"/>
      <sheetName val="Reexportação"/>
      <sheetName val="tabela Exp"/>
      <sheetName val="Exportação"/>
      <sheetName val="Setembro"/>
      <sheetName val="tabela import"/>
      <sheetName val="Folha1"/>
      <sheetName val="Folha2"/>
      <sheetName val="Folha3"/>
      <sheetName val="Imp.geo.cif"/>
      <sheetName val="Importa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B7">
            <v>2991.525214133736</v>
          </cell>
        </row>
        <row r="8">
          <cell r="B8">
            <v>14636.743939697031</v>
          </cell>
        </row>
        <row r="9">
          <cell r="B9">
            <v>2420049.6646602061</v>
          </cell>
        </row>
        <row r="10">
          <cell r="B10">
            <v>199958.74447616795</v>
          </cell>
        </row>
        <row r="11">
          <cell r="B11">
            <v>21362.702858753571</v>
          </cell>
        </row>
        <row r="13">
          <cell r="B13">
            <v>524794.75413264474</v>
          </cell>
        </row>
        <row r="14">
          <cell r="B14">
            <v>19240.33665824074</v>
          </cell>
        </row>
        <row r="15">
          <cell r="B15">
            <v>174215.77074505808</v>
          </cell>
        </row>
        <row r="16">
          <cell r="B16">
            <v>171163.52720544109</v>
          </cell>
        </row>
        <row r="17">
          <cell r="B17">
            <v>71641.649102547803</v>
          </cell>
        </row>
        <row r="18">
          <cell r="B18">
            <v>26592.952454127189</v>
          </cell>
        </row>
        <row r="19">
          <cell r="B19">
            <v>217279.54668206372</v>
          </cell>
        </row>
        <row r="22">
          <cell r="B22">
            <v>96299.626561675977</v>
          </cell>
        </row>
        <row r="23">
          <cell r="B23">
            <v>304.98576988124898</v>
          </cell>
        </row>
        <row r="24">
          <cell r="B24">
            <v>673051.61655058293</v>
          </cell>
        </row>
        <row r="26">
          <cell r="B26">
            <v>208986.70643219555</v>
          </cell>
        </row>
        <row r="28">
          <cell r="B28">
            <v>7536719.0721326051</v>
          </cell>
        </row>
        <row r="30">
          <cell r="B30">
            <v>139859.49462619796</v>
          </cell>
        </row>
        <row r="31">
          <cell r="B31">
            <v>18090.674453072432</v>
          </cell>
        </row>
        <row r="33">
          <cell r="B33">
            <v>45659.432068231828</v>
          </cell>
        </row>
        <row r="36">
          <cell r="B36">
            <v>54542.182072323558</v>
          </cell>
        </row>
      </sheetData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_Prod"/>
      <sheetName val="Import_Geo"/>
      <sheetName val="Donativo"/>
      <sheetName val="Prod_petro"/>
      <sheetName val="Frete"/>
      <sheetName val="Imp.geo.cif"/>
      <sheetName val="Importação"/>
      <sheetName val="Rexp_Prod"/>
      <sheetName val="Reexportação"/>
      <sheetName val="Export_Prod"/>
      <sheetName val="Export_Geo"/>
      <sheetName val="Exportação"/>
      <sheetName val="Outros Regimes"/>
      <sheetName val="Mes de outubro"/>
    </sheetNames>
    <sheetDataSet>
      <sheetData sheetId="0"/>
      <sheetData sheetId="1"/>
      <sheetData sheetId="2"/>
      <sheetData sheetId="3"/>
      <sheetData sheetId="4"/>
      <sheetData sheetId="5">
        <row r="7">
          <cell r="E7">
            <v>64652.083451935985</v>
          </cell>
        </row>
        <row r="8">
          <cell r="E8">
            <v>35086.762486980275</v>
          </cell>
        </row>
        <row r="9">
          <cell r="E9">
            <v>4910501.9759922428</v>
          </cell>
        </row>
        <row r="10">
          <cell r="E10">
            <v>47728.417225066914</v>
          </cell>
        </row>
        <row r="11">
          <cell r="E11">
            <v>35150.282801849244</v>
          </cell>
        </row>
        <row r="13">
          <cell r="E13">
            <v>519.53990218184845</v>
          </cell>
        </row>
        <row r="14">
          <cell r="E14">
            <v>101142.74377227927</v>
          </cell>
        </row>
        <row r="15">
          <cell r="E15">
            <v>39024.469111771286</v>
          </cell>
        </row>
        <row r="16">
          <cell r="E16">
            <v>77434.602112212611</v>
          </cell>
        </row>
        <row r="17">
          <cell r="E17">
            <v>117140.10421244729</v>
          </cell>
        </row>
        <row r="18">
          <cell r="E18">
            <v>73875.437934114161</v>
          </cell>
        </row>
        <row r="19">
          <cell r="E19">
            <v>50186.422414283872</v>
          </cell>
        </row>
        <row r="20">
          <cell r="E20">
            <v>156867.98653007892</v>
          </cell>
        </row>
        <row r="24">
          <cell r="E24">
            <v>70646.06607347884</v>
          </cell>
        </row>
        <row r="25">
          <cell r="E25">
            <v>24608.155824069425</v>
          </cell>
        </row>
        <row r="26">
          <cell r="E26">
            <v>40.682568302601396</v>
          </cell>
        </row>
        <row r="27">
          <cell r="E27">
            <v>78755.820790296697</v>
          </cell>
        </row>
        <row r="28">
          <cell r="E28">
            <v>10595562.927339122</v>
          </cell>
        </row>
        <row r="30">
          <cell r="E30">
            <v>90932.44153249955</v>
          </cell>
        </row>
        <row r="31">
          <cell r="E31">
            <v>28626.494655252271</v>
          </cell>
        </row>
        <row r="32">
          <cell r="E32">
            <v>3714.5427418139125</v>
          </cell>
        </row>
        <row r="35">
          <cell r="E35">
            <v>109938.80016778196</v>
          </cell>
        </row>
      </sheetData>
      <sheetData sheetId="6"/>
      <sheetData sheetId="7"/>
      <sheetData sheetId="8"/>
      <sheetData sheetId="9"/>
      <sheetData sheetId="10">
        <row r="7">
          <cell r="B7">
            <v>20039.103578027491</v>
          </cell>
        </row>
        <row r="8">
          <cell r="B8">
            <v>491015.32699945848</v>
          </cell>
        </row>
        <row r="10">
          <cell r="B10">
            <v>101054.36335540217</v>
          </cell>
        </row>
        <row r="11">
          <cell r="B11">
            <v>13916.428740264526</v>
          </cell>
        </row>
        <row r="12">
          <cell r="B12">
            <v>18579.414284328464</v>
          </cell>
        </row>
        <row r="13">
          <cell r="B13">
            <v>12658.883903908853</v>
          </cell>
        </row>
        <row r="16">
          <cell r="B16">
            <v>2778.148450590174</v>
          </cell>
        </row>
        <row r="17">
          <cell r="B17">
            <v>935708.80131092167</v>
          </cell>
        </row>
        <row r="18">
          <cell r="B18">
            <v>669.48823317500921</v>
          </cell>
        </row>
        <row r="22">
          <cell r="B22">
            <v>195302.07741743323</v>
          </cell>
        </row>
      </sheetData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ros Regimes"/>
      <sheetName val="tabela de exp"/>
      <sheetName val="Dezembro"/>
      <sheetName val="Exportação"/>
      <sheetName val="REEXPORTAÇÃO"/>
      <sheetName val="Quadros"/>
      <sheetName val="tabela de impot"/>
      <sheetName val="EX.GEO"/>
      <sheetName val="EX.PROD"/>
      <sheetName val="reexp"/>
      <sheetName val="IMP.PROD (CIF-frete)"/>
      <sheetName val="IMP.PROD (fob)"/>
      <sheetName val="IMP.GEO (CIF-frete)"/>
      <sheetName val="IM GEO (fob)"/>
      <sheetName val="Frete"/>
      <sheetName val="Prod.Petrolíferos"/>
      <sheetName val="petrol."/>
      <sheetName val="Folha1"/>
      <sheetName val="Importa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B8">
            <v>3250.3657097189011</v>
          </cell>
        </row>
        <row r="9">
          <cell r="B9">
            <v>63560.217119791712</v>
          </cell>
        </row>
        <row r="10">
          <cell r="B10">
            <v>2037600.2077195998</v>
          </cell>
        </row>
        <row r="12">
          <cell r="B12">
            <v>188868.24970712425</v>
          </cell>
        </row>
        <row r="13">
          <cell r="B13">
            <v>110329.22852412584</v>
          </cell>
        </row>
        <row r="15">
          <cell r="B15">
            <v>581.96694617861954</v>
          </cell>
        </row>
        <row r="16">
          <cell r="B16">
            <v>153556.65358443934</v>
          </cell>
        </row>
        <row r="17">
          <cell r="B17">
            <v>121826.73844141647</v>
          </cell>
        </row>
        <row r="18">
          <cell r="B18">
            <v>159907.48380271206</v>
          </cell>
        </row>
        <row r="19">
          <cell r="B19">
            <v>78955.942408860821</v>
          </cell>
        </row>
        <row r="20">
          <cell r="B20">
            <v>114292.52491094903</v>
          </cell>
        </row>
        <row r="21">
          <cell r="B21">
            <v>63710.982601723212</v>
          </cell>
        </row>
        <row r="22">
          <cell r="B22">
            <v>122686.29411511013</v>
          </cell>
        </row>
        <row r="25">
          <cell r="B25">
            <v>114714.05130674111</v>
          </cell>
        </row>
        <row r="26">
          <cell r="B26">
            <v>69744.80414946306</v>
          </cell>
        </row>
        <row r="29">
          <cell r="B29">
            <v>81563.027671595308</v>
          </cell>
        </row>
        <row r="30">
          <cell r="B30">
            <v>78393.090858841344</v>
          </cell>
        </row>
        <row r="32">
          <cell r="B32">
            <v>7303244.323973936</v>
          </cell>
        </row>
        <row r="34">
          <cell r="B34">
            <v>70352.912079158777</v>
          </cell>
        </row>
        <row r="35">
          <cell r="B35">
            <v>1554.2917421777288</v>
          </cell>
        </row>
        <row r="36">
          <cell r="B36">
            <v>142450.49095759616</v>
          </cell>
        </row>
        <row r="41">
          <cell r="B41">
            <v>268927.67740442039</v>
          </cell>
        </row>
      </sheetData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de Agosto"/>
      <sheetName val="tabela de import"/>
      <sheetName val="Folha3"/>
      <sheetName val="Combustivel"/>
      <sheetName val="Imp Geo DEEF"/>
      <sheetName val="Impo Prod deef"/>
      <sheetName val="Expo Prod DEEF"/>
      <sheetName val="Exp Geo DEEF"/>
      <sheetName val="Reexpotação"/>
      <sheetName val="Folha1"/>
      <sheetName val="Outros regimes (2)"/>
      <sheetName val="tabela de Exportação"/>
      <sheetName val="Folha2"/>
      <sheetName val="Frete"/>
      <sheetName val="Folha11"/>
      <sheetName val="Imp.geo.cif"/>
      <sheetName val="Importação"/>
      <sheetName val="Exportação"/>
      <sheetName val="Ago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E5">
            <v>71733.981042679618</v>
          </cell>
        </row>
        <row r="6">
          <cell r="E6">
            <v>4484460.9839150514</v>
          </cell>
        </row>
        <row r="7">
          <cell r="E7">
            <v>70779.084166766988</v>
          </cell>
        </row>
        <row r="9">
          <cell r="E9">
            <v>219695.1135155794</v>
          </cell>
        </row>
        <row r="10">
          <cell r="E10">
            <v>194242.23895897219</v>
          </cell>
        </row>
        <row r="11">
          <cell r="E11">
            <v>335123.16212293057</v>
          </cell>
        </row>
        <row r="12">
          <cell r="E12">
            <v>67875.639535605558</v>
          </cell>
        </row>
        <row r="14">
          <cell r="E14">
            <v>215379.17852691319</v>
          </cell>
        </row>
        <row r="15">
          <cell r="E15">
            <v>134918.56568259685</v>
          </cell>
        </row>
        <row r="17">
          <cell r="E17">
            <v>46974.806002989513</v>
          </cell>
        </row>
        <row r="20">
          <cell r="E20">
            <v>3028.1185677339045</v>
          </cell>
        </row>
        <row r="22">
          <cell r="E22">
            <v>119161.59601441745</v>
          </cell>
        </row>
        <row r="24">
          <cell r="E24">
            <v>6821437.2522287788</v>
          </cell>
        </row>
        <row r="30">
          <cell r="F30">
            <v>171999.69219590849</v>
          </cell>
        </row>
      </sheetData>
      <sheetData sheetId="16"/>
      <sheetData sheetId="17"/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de impo"/>
      <sheetName val="Folha9"/>
      <sheetName val="Imp.geo.cif"/>
      <sheetName val="importação (3)"/>
      <sheetName val="tabela de expor"/>
      <sheetName val="Exportação"/>
      <sheetName val="Quadro"/>
      <sheetName val="Folha8"/>
      <sheetName val="Outros Regimes1"/>
      <sheetName val="Reexportação"/>
      <sheetName val="Base"/>
      <sheetName val="Impot produto"/>
      <sheetName val="impot países"/>
      <sheetName val="Frete are e marit"/>
      <sheetName val="donat 802"/>
      <sheetName val="import base"/>
      <sheetName val="expot produtos"/>
      <sheetName val="exportação  países"/>
      <sheetName val="expot base"/>
      <sheetName val="Folha7"/>
      <sheetName val="Folha6"/>
    </sheetNames>
    <sheetDataSet>
      <sheetData sheetId="0"/>
      <sheetData sheetId="1"/>
      <sheetData sheetId="2">
        <row r="5">
          <cell r="E5">
            <v>3361906.8852161993</v>
          </cell>
        </row>
        <row r="6">
          <cell r="E6">
            <v>32934.217452738711</v>
          </cell>
        </row>
        <row r="7">
          <cell r="E7">
            <v>93509.970003091614</v>
          </cell>
        </row>
        <row r="9">
          <cell r="E9">
            <v>469254.75445061154</v>
          </cell>
        </row>
        <row r="10">
          <cell r="E10">
            <v>135475.777881271</v>
          </cell>
        </row>
        <row r="11">
          <cell r="E11">
            <v>135617.82153224791</v>
          </cell>
        </row>
        <row r="12">
          <cell r="E12">
            <v>108246.81984835753</v>
          </cell>
        </row>
        <row r="13">
          <cell r="E13">
            <v>84173.058985417578</v>
          </cell>
        </row>
        <row r="14">
          <cell r="E14">
            <v>168301.66348490986</v>
          </cell>
        </row>
        <row r="17">
          <cell r="E17">
            <v>15367.577568240658</v>
          </cell>
        </row>
        <row r="18">
          <cell r="E18">
            <v>152939.06287037124</v>
          </cell>
        </row>
        <row r="20">
          <cell r="E20">
            <v>33245.598643036792</v>
          </cell>
        </row>
        <row r="22">
          <cell r="E22">
            <v>5109721.9437433733</v>
          </cell>
        </row>
        <row r="24">
          <cell r="E24">
            <v>30.039258525327181</v>
          </cell>
        </row>
        <row r="25">
          <cell r="E25">
            <v>158150.11203214212</v>
          </cell>
        </row>
        <row r="29">
          <cell r="E29">
            <v>470175.968346907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"/>
      <sheetName val="1 Imp Prod"/>
      <sheetName val=". Geogra  Imp"/>
      <sheetName val="Combustivel"/>
      <sheetName val="Exp Prod"/>
      <sheetName val="5. Rexport"/>
      <sheetName val="6,Exp Geog"/>
      <sheetName val="Frete"/>
      <sheetName val="Reexportação"/>
      <sheetName val="Folha6"/>
      <sheetName val="Outros Regimes"/>
      <sheetName val="tabela de import"/>
      <sheetName val="Imp.geo.cif"/>
      <sheetName val="importação (2)"/>
      <sheetName val="Abril"/>
      <sheetName val="tabela de export"/>
      <sheetName val="Exporta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F5">
            <v>11419.972480076176</v>
          </cell>
        </row>
        <row r="6">
          <cell r="F6">
            <v>85875.150145338499</v>
          </cell>
        </row>
        <row r="7">
          <cell r="F7">
            <v>16735.24847936289</v>
          </cell>
        </row>
        <row r="9">
          <cell r="F9">
            <v>1395.1799149899439</v>
          </cell>
        </row>
        <row r="10">
          <cell r="F10">
            <v>385051.63961979601</v>
          </cell>
        </row>
        <row r="11">
          <cell r="F11">
            <v>173818.2151637745</v>
          </cell>
        </row>
        <row r="12">
          <cell r="F12">
            <v>150419.6221591194</v>
          </cell>
        </row>
        <row r="13">
          <cell r="F13">
            <v>117503.5724017717</v>
          </cell>
        </row>
        <row r="14">
          <cell r="F14">
            <v>111545.08305898428</v>
          </cell>
        </row>
        <row r="15">
          <cell r="F15">
            <v>378006.99748126423</v>
          </cell>
        </row>
        <row r="17">
          <cell r="F17">
            <v>71454.887206243773</v>
          </cell>
        </row>
        <row r="18">
          <cell r="F18">
            <v>3145.8037130097473</v>
          </cell>
        </row>
        <row r="19">
          <cell r="F19">
            <v>60790.290724974722</v>
          </cell>
        </row>
        <row r="21">
          <cell r="F21">
            <v>5149.7619256273183</v>
          </cell>
        </row>
        <row r="22">
          <cell r="F22">
            <v>174599.48918975363</v>
          </cell>
        </row>
        <row r="24">
          <cell r="F24">
            <v>6610568.9908188442</v>
          </cell>
        </row>
        <row r="25">
          <cell r="F25">
            <v>794.72935907614669</v>
          </cell>
        </row>
        <row r="26">
          <cell r="F26">
            <v>295613.7815000015</v>
          </cell>
        </row>
        <row r="27">
          <cell r="F27">
            <v>44455.310817745463</v>
          </cell>
        </row>
        <row r="33">
          <cell r="F33">
            <v>161592.68825445988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.geo.cif"/>
      <sheetName val="Mês de Junho"/>
      <sheetName val="tabela de importação"/>
      <sheetName val="Importação (2)"/>
      <sheetName val="Quadros"/>
      <sheetName val="reexportação"/>
      <sheetName val="Outros regimes"/>
      <sheetName val="tabela de exportação"/>
      <sheetName val="Exportação"/>
    </sheetNames>
    <sheetDataSet>
      <sheetData sheetId="0">
        <row r="5">
          <cell r="E5">
            <v>20518.653961269323</v>
          </cell>
        </row>
        <row r="6">
          <cell r="E6">
            <v>1897172.3224201067</v>
          </cell>
        </row>
        <row r="7">
          <cell r="E7">
            <v>442108.19161387486</v>
          </cell>
        </row>
        <row r="8">
          <cell r="E8">
            <v>554882.16819539049</v>
          </cell>
        </row>
        <row r="9">
          <cell r="E9">
            <v>67732.999769001035</v>
          </cell>
        </row>
        <row r="10">
          <cell r="E10">
            <v>159868.66410434799</v>
          </cell>
        </row>
        <row r="11">
          <cell r="E11">
            <v>52900.711422377317</v>
          </cell>
        </row>
        <row r="12">
          <cell r="E12">
            <v>129689.80128188546</v>
          </cell>
        </row>
        <row r="13">
          <cell r="E13">
            <v>107788.49153132351</v>
          </cell>
        </row>
        <row r="17">
          <cell r="E17">
            <v>57408.645352132749</v>
          </cell>
        </row>
        <row r="21">
          <cell r="E21">
            <v>285.91228483398709</v>
          </cell>
        </row>
        <row r="22">
          <cell r="E22">
            <v>122279.37764610685</v>
          </cell>
        </row>
        <row r="23">
          <cell r="E23">
            <v>6196994.7157918466</v>
          </cell>
        </row>
        <row r="24">
          <cell r="E24">
            <v>3960.5205055836855</v>
          </cell>
        </row>
        <row r="25">
          <cell r="E25">
            <v>32867.205543249227</v>
          </cell>
        </row>
        <row r="26">
          <cell r="E26">
            <v>1780.8250883945484</v>
          </cell>
        </row>
        <row r="33">
          <cell r="E33">
            <v>278332.06964641728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xportacao"/>
      <sheetName val="outros regimes de Março e Abril"/>
      <sheetName val="tabela de impo"/>
      <sheetName val="frete"/>
      <sheetName val="produto_fob"/>
      <sheetName val="geo_fob"/>
      <sheetName val="combustivel"/>
      <sheetName val="Imp.geo.cif"/>
      <sheetName val="IMPORT de Março a Abril 2014"/>
      <sheetName val="tabela de exp"/>
      <sheetName val="Quadro de MARÇO"/>
      <sheetName val="Quadro de Abril"/>
      <sheetName val="x_prod"/>
      <sheetName val="x_geo"/>
      <sheetName val="Export de Março e Abril 2014"/>
      <sheetName val="reexportacao_pesos"/>
      <sheetName val="reexportacao_detalhada"/>
      <sheetName val="rex_mar_abr"/>
      <sheetName val="donativos"/>
      <sheetName val="Folh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E5">
            <v>3586.8294502734379</v>
          </cell>
        </row>
        <row r="6">
          <cell r="E6">
            <v>19933.672523418507</v>
          </cell>
        </row>
        <row r="7">
          <cell r="E7">
            <v>2962188.0276692179</v>
          </cell>
        </row>
        <row r="9">
          <cell r="E9">
            <v>66323.891615268149</v>
          </cell>
        </row>
        <row r="10">
          <cell r="E10">
            <v>44683.502489590988</v>
          </cell>
        </row>
        <row r="12">
          <cell r="E12">
            <v>81128.671495541465</v>
          </cell>
        </row>
        <row r="13">
          <cell r="E13">
            <v>309970.73524856486</v>
          </cell>
        </row>
        <row r="14">
          <cell r="E14">
            <v>30505.072335095749</v>
          </cell>
        </row>
        <row r="15">
          <cell r="E15">
            <v>35356.617819634739</v>
          </cell>
        </row>
        <row r="16">
          <cell r="E16">
            <v>29027.131080368785</v>
          </cell>
        </row>
        <row r="17">
          <cell r="E17">
            <v>264335.79431928485</v>
          </cell>
        </row>
        <row r="18">
          <cell r="E18">
            <v>84592.879472875517</v>
          </cell>
        </row>
        <row r="19">
          <cell r="E19">
            <v>245573.32863553381</v>
          </cell>
        </row>
        <row r="21">
          <cell r="E21">
            <v>66229.629073627919</v>
          </cell>
        </row>
        <row r="22">
          <cell r="E22">
            <v>59171.099794816691</v>
          </cell>
        </row>
        <row r="24">
          <cell r="E24">
            <v>44630.655270208415</v>
          </cell>
        </row>
        <row r="25">
          <cell r="E25">
            <v>42870.09034675025</v>
          </cell>
        </row>
        <row r="28">
          <cell r="E28">
            <v>9518207.6056727488</v>
          </cell>
        </row>
        <row r="30">
          <cell r="E30">
            <v>328.35036098929379</v>
          </cell>
        </row>
        <row r="31">
          <cell r="E31">
            <v>4509.2390741152558</v>
          </cell>
        </row>
        <row r="33">
          <cell r="G33">
            <v>511000.81143469783</v>
          </cell>
        </row>
        <row r="34">
          <cell r="E34">
            <v>4776.5929731638234</v>
          </cell>
        </row>
        <row r="35">
          <cell r="E35">
            <v>3059503.7304083505</v>
          </cell>
        </row>
        <row r="37">
          <cell r="E37">
            <v>80592.465659528971</v>
          </cell>
        </row>
        <row r="38">
          <cell r="E38">
            <v>63395.258164132603</v>
          </cell>
        </row>
        <row r="40">
          <cell r="E40">
            <v>123152.47521650068</v>
          </cell>
        </row>
        <row r="41">
          <cell r="E41">
            <v>231423.81756255825</v>
          </cell>
        </row>
        <row r="42">
          <cell r="E42">
            <v>179964.71457499734</v>
          </cell>
        </row>
        <row r="43">
          <cell r="E43">
            <v>186846.43434869629</v>
          </cell>
        </row>
        <row r="44">
          <cell r="E44">
            <v>457154.62631848978</v>
          </cell>
        </row>
        <row r="49">
          <cell r="E49">
            <v>6954.4594631645323</v>
          </cell>
        </row>
        <row r="50">
          <cell r="E50">
            <v>9940.3394291667792</v>
          </cell>
        </row>
        <row r="51">
          <cell r="E51">
            <v>135437.27151815413</v>
          </cell>
        </row>
        <row r="52">
          <cell r="E52">
            <v>160806.06604717943</v>
          </cell>
        </row>
        <row r="54">
          <cell r="E54">
            <v>6858396.9159182478</v>
          </cell>
        </row>
        <row r="55">
          <cell r="G55">
            <v>308720.68054814939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ros Regimes"/>
      <sheetName val="REEXP"/>
      <sheetName val="Reexportação"/>
      <sheetName val="tabela de import"/>
      <sheetName val="Importação"/>
      <sheetName val="Alfandega"/>
      <sheetName val="Novembro"/>
      <sheetName val="tabela de export"/>
      <sheetName val="Quadro"/>
      <sheetName val="EX.PROD"/>
      <sheetName val="EX.GEO"/>
      <sheetName val="Exportação"/>
      <sheetName val="Folha1"/>
      <sheetName val="IMP.PROD (1)"/>
      <sheetName val="IMP PROD (2)"/>
      <sheetName val="IMP.GEO"/>
      <sheetName val="Frete"/>
      <sheetName val="Prod.Petrolíferos"/>
      <sheetName val="Donativos"/>
      <sheetName val="Imp.Geo.Cif"/>
      <sheetName val="Importaçã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B7">
            <v>97677.416640741503</v>
          </cell>
        </row>
        <row r="8">
          <cell r="B8">
            <v>3234930.8167608241</v>
          </cell>
        </row>
        <row r="10">
          <cell r="B10">
            <v>388442.65114815871</v>
          </cell>
        </row>
        <row r="11">
          <cell r="B11">
            <v>38218.397510136958</v>
          </cell>
        </row>
        <row r="14">
          <cell r="B14">
            <v>885046.00817580184</v>
          </cell>
        </row>
        <row r="15">
          <cell r="B15">
            <v>116520.34712727227</v>
          </cell>
        </row>
        <row r="16">
          <cell r="B16">
            <v>1043252.4916494775</v>
          </cell>
        </row>
        <row r="17">
          <cell r="B17">
            <v>1169828.9068375372</v>
          </cell>
        </row>
        <row r="18">
          <cell r="C18">
            <v>123997.2645666835</v>
          </cell>
        </row>
        <row r="20">
          <cell r="B20">
            <v>227519.62531796479</v>
          </cell>
        </row>
        <row r="23">
          <cell r="B23">
            <v>192140.66175003245</v>
          </cell>
        </row>
        <row r="24">
          <cell r="B24">
            <v>33569.532423032717</v>
          </cell>
        </row>
        <row r="25">
          <cell r="B25">
            <v>705779.48978373606</v>
          </cell>
        </row>
        <row r="26">
          <cell r="B26">
            <v>143439.77889960469</v>
          </cell>
        </row>
        <row r="27">
          <cell r="B27">
            <v>64372.469898469149</v>
          </cell>
        </row>
        <row r="28">
          <cell r="B28">
            <v>8269458.9086370738</v>
          </cell>
        </row>
        <row r="33">
          <cell r="C33">
            <v>10056.11211180855</v>
          </cell>
        </row>
        <row r="35">
          <cell r="B35">
            <v>8586.5382520589828</v>
          </cell>
        </row>
        <row r="38">
          <cell r="B38">
            <v>588919.81764358841</v>
          </cell>
        </row>
      </sheetData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PRODUTO_PUBLICAÇÃO 2015 (2)"/>
      <sheetName val="BC GEOGRAFICA_PUBLICAÇÃO 20 (2)"/>
      <sheetName val="Balança Com. por Produto 2015"/>
      <sheetName val="Balança Com.Geográfica 2015"/>
      <sheetName val="BC PRODUTO_Anexo"/>
      <sheetName val="Nota Informativa"/>
      <sheetName val="BC PRODUTO_PUBLICAÇÃO 2013"/>
      <sheetName val="BC GEOGRAFICA_PUBLICAÇÃO 2013"/>
    </sheetNames>
    <sheetDataSet>
      <sheetData sheetId="0"/>
      <sheetData sheetId="1"/>
      <sheetData sheetId="2"/>
      <sheetData sheetId="3">
        <row r="8">
          <cell r="CZ8">
            <v>0</v>
          </cell>
          <cell r="DA8">
            <v>0</v>
          </cell>
          <cell r="DB8">
            <v>0</v>
          </cell>
          <cell r="DD8">
            <v>0</v>
          </cell>
          <cell r="DE8">
            <v>0</v>
          </cell>
          <cell r="DF8">
            <v>0</v>
          </cell>
          <cell r="DH8">
            <v>0</v>
          </cell>
          <cell r="DI8">
            <v>0</v>
          </cell>
          <cell r="DJ8">
            <v>0</v>
          </cell>
          <cell r="DL8">
            <v>0</v>
          </cell>
          <cell r="DM8">
            <v>0</v>
          </cell>
          <cell r="DN8">
            <v>0</v>
          </cell>
          <cell r="DQ8">
            <v>0</v>
          </cell>
          <cell r="DR8">
            <v>0</v>
          </cell>
          <cell r="DS8">
            <v>0</v>
          </cell>
          <cell r="DU8">
            <v>1.0681846224141758</v>
          </cell>
          <cell r="DV8">
            <v>0</v>
          </cell>
          <cell r="DW8">
            <v>0</v>
          </cell>
          <cell r="DY8">
            <v>0</v>
          </cell>
          <cell r="DZ8">
            <v>0</v>
          </cell>
          <cell r="EA8">
            <v>0</v>
          </cell>
        </row>
        <row r="9">
          <cell r="CZ9">
            <v>7.9471031981019662</v>
          </cell>
          <cell r="DA9">
            <v>7.963597510933357</v>
          </cell>
          <cell r="DB9">
            <v>10.709407231437016</v>
          </cell>
          <cell r="DD9">
            <v>17.699222964485323</v>
          </cell>
          <cell r="DE9">
            <v>5.5675598331736374E-2</v>
          </cell>
          <cell r="DF9">
            <v>2.6423904385101982</v>
          </cell>
          <cell r="DH9">
            <v>8.399343204300024</v>
          </cell>
          <cell r="DI9">
            <v>22.408387580520568</v>
          </cell>
          <cell r="DJ9">
            <v>19.512875268769861</v>
          </cell>
          <cell r="DL9">
            <v>16.438471571461378</v>
          </cell>
          <cell r="DM9">
            <v>32.875985445724673</v>
          </cell>
          <cell r="DN9">
            <v>42.320608370417816</v>
          </cell>
          <cell r="DR9">
            <v>11.312924694551032</v>
          </cell>
          <cell r="DS9">
            <v>14.072732278142277</v>
          </cell>
          <cell r="DU9">
            <v>0</v>
          </cell>
          <cell r="DV9">
            <v>11.665417868728156</v>
          </cell>
          <cell r="DY9">
            <v>49.333478566327607</v>
          </cell>
          <cell r="DZ9">
            <v>12.16809822088884</v>
          </cell>
        </row>
        <row r="11">
          <cell r="CZ11">
            <v>4.7256290214963617</v>
          </cell>
          <cell r="DA11">
            <v>0</v>
          </cell>
          <cell r="DB11">
            <v>2.8435503937021105</v>
          </cell>
          <cell r="DD11">
            <v>2.7697312577321664</v>
          </cell>
          <cell r="DE11">
            <v>0</v>
          </cell>
          <cell r="DF11">
            <v>0</v>
          </cell>
          <cell r="DH11">
            <v>0</v>
          </cell>
          <cell r="DI11">
            <v>0</v>
          </cell>
          <cell r="DJ11">
            <v>6.9348127600554781</v>
          </cell>
          <cell r="DL11">
            <v>0</v>
          </cell>
          <cell r="DM11">
            <v>0</v>
          </cell>
          <cell r="DN11">
            <v>0</v>
          </cell>
          <cell r="DR11">
            <v>6.3782131465382443</v>
          </cell>
          <cell r="DS11">
            <v>0</v>
          </cell>
          <cell r="DU11">
            <v>0</v>
          </cell>
          <cell r="DV11">
            <v>3.5593433267079746</v>
          </cell>
          <cell r="DY11">
            <v>2.2274999120137537</v>
          </cell>
          <cell r="DZ11">
            <v>4.1824908277326287</v>
          </cell>
          <cell r="EA11">
            <v>6.0493999999999994</v>
          </cell>
        </row>
        <row r="13">
          <cell r="CZ13">
            <v>1.1037643330697176</v>
          </cell>
          <cell r="DA13">
            <v>9.7551131826296267</v>
          </cell>
          <cell r="DB13">
            <v>1.2603396867523733</v>
          </cell>
          <cell r="DD13">
            <v>0</v>
          </cell>
          <cell r="DE13">
            <v>0</v>
          </cell>
          <cell r="DF13">
            <v>0.68812251002869751</v>
          </cell>
          <cell r="DH13">
            <v>4.5290576101617779</v>
          </cell>
          <cell r="DI13">
            <v>5.1714542204842484</v>
          </cell>
          <cell r="DJ13">
            <v>0</v>
          </cell>
          <cell r="DL13">
            <v>0</v>
          </cell>
          <cell r="DM13">
            <v>8.0515366383666862</v>
          </cell>
          <cell r="DN13">
            <v>11.71975838969124</v>
          </cell>
          <cell r="DQ13">
            <v>10.707761891530765</v>
          </cell>
          <cell r="DR13">
            <v>0</v>
          </cell>
          <cell r="DS13">
            <v>0</v>
          </cell>
          <cell r="DU13">
            <v>4.8831297024648022</v>
          </cell>
          <cell r="DV13">
            <v>10.357684145351108</v>
          </cell>
          <cell r="DW13">
            <v>1.1913011868082795</v>
          </cell>
          <cell r="DY13">
            <v>0</v>
          </cell>
          <cell r="DZ13">
            <v>0.45067030447736445</v>
          </cell>
          <cell r="EA13">
            <v>2.4209000000000001</v>
          </cell>
        </row>
        <row r="16">
          <cell r="CZ16">
            <v>0</v>
          </cell>
          <cell r="DA16">
            <v>456.85383701612852</v>
          </cell>
          <cell r="DB16">
            <v>48.089416899642792</v>
          </cell>
          <cell r="DD16">
            <v>309.05902045516478</v>
          </cell>
          <cell r="DE16">
            <v>33.488212362321207</v>
          </cell>
          <cell r="DF16">
            <v>481.12757956485342</v>
          </cell>
          <cell r="DH16">
            <v>381.79598324742767</v>
          </cell>
          <cell r="DI16">
            <v>0</v>
          </cell>
          <cell r="DJ16">
            <v>267.44718324993738</v>
          </cell>
          <cell r="DL16">
            <v>234.84725911603147</v>
          </cell>
          <cell r="DM16">
            <v>144.51801066302812</v>
          </cell>
          <cell r="DN16">
            <v>148.39981566502328</v>
          </cell>
          <cell r="DQ16">
            <v>104.80307516943871</v>
          </cell>
          <cell r="DR16">
            <v>67.432619116819268</v>
          </cell>
          <cell r="DS16">
            <v>0</v>
          </cell>
          <cell r="DU16">
            <v>361.93899052629234</v>
          </cell>
          <cell r="DV16">
            <v>274.79273693136696</v>
          </cell>
          <cell r="DW16">
            <v>338.91069915537884</v>
          </cell>
          <cell r="DY16">
            <v>93.918145615233257</v>
          </cell>
          <cell r="DZ16">
            <v>0</v>
          </cell>
          <cell r="EA16">
            <v>282.42290000000003</v>
          </cell>
        </row>
        <row r="17">
          <cell r="CZ17">
            <v>68.255058965850083</v>
          </cell>
          <cell r="DA17">
            <v>0</v>
          </cell>
          <cell r="DB17">
            <v>53.357619649647965</v>
          </cell>
          <cell r="DD17">
            <v>62.95767095256933</v>
          </cell>
          <cell r="DE17">
            <v>209.35905983957636</v>
          </cell>
          <cell r="DF17">
            <v>89.80365387547846</v>
          </cell>
          <cell r="DH17">
            <v>0</v>
          </cell>
          <cell r="DI17">
            <v>0</v>
          </cell>
          <cell r="DJ17">
            <v>193.33524735213857</v>
          </cell>
          <cell r="DL17">
            <v>311.61324077788902</v>
          </cell>
          <cell r="DM17">
            <v>844.52881443298963</v>
          </cell>
          <cell r="DN17">
            <v>167.83037242464738</v>
          </cell>
          <cell r="DQ17">
            <v>34.191728298709066</v>
          </cell>
          <cell r="DR17">
            <v>66.45276325083789</v>
          </cell>
          <cell r="DS17">
            <v>0</v>
          </cell>
          <cell r="DU17">
            <v>0</v>
          </cell>
          <cell r="DV17">
            <v>133.38316316778912</v>
          </cell>
          <cell r="DW17">
            <v>94.707441343733279</v>
          </cell>
          <cell r="DY17">
            <v>67.251682987558524</v>
          </cell>
          <cell r="DZ17">
            <v>32.752097081594314</v>
          </cell>
          <cell r="EA17">
            <v>188.55520000000001</v>
          </cell>
        </row>
        <row r="18">
          <cell r="CZ18">
            <v>0</v>
          </cell>
          <cell r="DA18">
            <v>30.776954012436487</v>
          </cell>
          <cell r="DB18">
            <v>3.6655999524991971</v>
          </cell>
          <cell r="DD18">
            <v>362.25701203630086</v>
          </cell>
          <cell r="DE18">
            <v>0</v>
          </cell>
          <cell r="DF18">
            <v>182.74181588373924</v>
          </cell>
          <cell r="DH18">
            <v>4.0080787408231693</v>
          </cell>
          <cell r="DI18">
            <v>35.448373825963834</v>
          </cell>
          <cell r="DJ18">
            <v>31.670262495505217</v>
          </cell>
          <cell r="DL18">
            <v>0</v>
          </cell>
          <cell r="DM18">
            <v>407.55950576106733</v>
          </cell>
          <cell r="DN18">
            <v>300.35899574184702</v>
          </cell>
          <cell r="DQ18">
            <v>0</v>
          </cell>
          <cell r="DR18">
            <v>0</v>
          </cell>
          <cell r="DS18">
            <v>12.000566427474194</v>
          </cell>
          <cell r="DU18">
            <v>35.361183740398872</v>
          </cell>
          <cell r="DV18">
            <v>0</v>
          </cell>
          <cell r="DW18">
            <v>0</v>
          </cell>
          <cell r="DY18">
            <v>6.8369991299385342</v>
          </cell>
          <cell r="DZ18">
            <v>0</v>
          </cell>
          <cell r="EA18">
            <v>44.317800000000005</v>
          </cell>
        </row>
        <row r="19">
          <cell r="CZ19">
            <v>63.183821463911592</v>
          </cell>
          <cell r="DA19">
            <v>0</v>
          </cell>
          <cell r="DB19">
            <v>363.2278811785352</v>
          </cell>
          <cell r="DD19">
            <v>0</v>
          </cell>
          <cell r="DE19">
            <v>444.85916077943614</v>
          </cell>
          <cell r="DF19">
            <v>230.18195473034683</v>
          </cell>
          <cell r="DH19">
            <v>113.06136790715269</v>
          </cell>
          <cell r="DI19">
            <v>110.54239674770591</v>
          </cell>
          <cell r="DJ19">
            <v>153.60671827676975</v>
          </cell>
          <cell r="DL19">
            <v>449.83172717479698</v>
          </cell>
          <cell r="DM19">
            <v>43.949773903375785</v>
          </cell>
          <cell r="DN19">
            <v>227.23016499155318</v>
          </cell>
          <cell r="DQ19">
            <v>0</v>
          </cell>
          <cell r="DR19">
            <v>0</v>
          </cell>
          <cell r="DS19">
            <v>112.64780216904782</v>
          </cell>
          <cell r="DU19">
            <v>0</v>
          </cell>
          <cell r="DV19">
            <v>0</v>
          </cell>
          <cell r="DW19">
            <v>177.08263273477823</v>
          </cell>
          <cell r="DY19">
            <v>34.381461141932292</v>
          </cell>
          <cell r="DZ19">
            <v>133.36713360616915</v>
          </cell>
          <cell r="EA19">
            <v>301.05720000000002</v>
          </cell>
        </row>
        <row r="20">
          <cell r="CZ20">
            <v>21.238925794475765</v>
          </cell>
          <cell r="DA20">
            <v>0.16590828147777825</v>
          </cell>
          <cell r="DB20">
            <v>0.7590252924968337</v>
          </cell>
          <cell r="DD20">
            <v>0.92149798257251514</v>
          </cell>
          <cell r="DE20">
            <v>28.252860751431278</v>
          </cell>
          <cell r="DF20">
            <v>0.20230801794843709</v>
          </cell>
          <cell r="DH20">
            <v>45.80848070154827</v>
          </cell>
          <cell r="DI20">
            <v>1.1271395002475064</v>
          </cell>
          <cell r="DJ20">
            <v>10.59144570141202</v>
          </cell>
          <cell r="DL20">
            <v>0.54118530626670502</v>
          </cell>
          <cell r="DM20">
            <v>2.4514857489387509</v>
          </cell>
          <cell r="DN20">
            <v>0.98516970866874354</v>
          </cell>
          <cell r="DR20">
            <v>84.925573832009462</v>
          </cell>
          <cell r="DS20">
            <v>4.5855998128326609</v>
          </cell>
          <cell r="DU20">
            <v>40.504514497009303</v>
          </cell>
          <cell r="DV20">
            <v>25.558459446969461</v>
          </cell>
          <cell r="DY20">
            <v>42.711197062907722</v>
          </cell>
          <cell r="DZ20">
            <v>0.55207112298477146</v>
          </cell>
          <cell r="EA20">
            <v>121.9802</v>
          </cell>
        </row>
        <row r="23">
          <cell r="CZ23">
            <v>0</v>
          </cell>
          <cell r="DA23">
            <v>0</v>
          </cell>
          <cell r="DB23">
            <v>0</v>
          </cell>
          <cell r="DD23">
            <v>12.812217256600771</v>
          </cell>
          <cell r="DE23">
            <v>12.437427586924921</v>
          </cell>
          <cell r="DF23">
            <v>0</v>
          </cell>
          <cell r="DH23">
            <v>10.02154184492397</v>
          </cell>
          <cell r="DI23">
            <v>0</v>
          </cell>
          <cell r="DJ23">
            <v>10.005393743257821</v>
          </cell>
          <cell r="DL23">
            <v>9.0805860109634349</v>
          </cell>
          <cell r="DM23">
            <v>14.741105720638773</v>
          </cell>
          <cell r="DN23">
            <v>0</v>
          </cell>
          <cell r="DQ23">
            <v>10.063598198596315</v>
          </cell>
          <cell r="DR23">
            <v>0</v>
          </cell>
          <cell r="DS23">
            <v>8.819953023460565</v>
          </cell>
          <cell r="DU23">
            <v>0</v>
          </cell>
          <cell r="DV23">
            <v>10.686823910517273</v>
          </cell>
          <cell r="DW23">
            <v>0</v>
          </cell>
          <cell r="DY23">
            <v>9.2349696102187</v>
          </cell>
          <cell r="DZ23">
            <v>0</v>
          </cell>
          <cell r="EA23">
            <v>0</v>
          </cell>
        </row>
        <row r="24">
          <cell r="CZ24">
            <v>130.67691383077414</v>
          </cell>
          <cell r="DA24">
            <v>282.42460829054744</v>
          </cell>
          <cell r="DB24">
            <v>39.743500372220318</v>
          </cell>
          <cell r="DD24">
            <v>159.32199009946973</v>
          </cell>
          <cell r="DE24">
            <v>95.369655518370465</v>
          </cell>
          <cell r="DF24">
            <v>225.79567804013902</v>
          </cell>
          <cell r="DH24">
            <v>6.9710980247270085</v>
          </cell>
          <cell r="DI24">
            <v>58.081557827708522</v>
          </cell>
          <cell r="DJ24">
            <v>122.56399301591493</v>
          </cell>
          <cell r="DL24">
            <v>148.06092652362801</v>
          </cell>
          <cell r="DM24">
            <v>388.06623691125935</v>
          </cell>
          <cell r="DN24">
            <v>112.77958156410253</v>
          </cell>
          <cell r="DR24">
            <v>39.807242387229451</v>
          </cell>
          <cell r="DS24">
            <v>29.55629132490817</v>
          </cell>
          <cell r="DU24">
            <v>169.71605036773889</v>
          </cell>
          <cell r="DV24">
            <v>26.060565952234604</v>
          </cell>
          <cell r="DY24">
            <v>46.439227654500506</v>
          </cell>
          <cell r="DZ24">
            <v>7.5978270480599326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PRODUTO_PUBLICAÇÃO 2016(2)"/>
      <sheetName val="BC GEOGRAFICA_PUBLICAÇÃO 20 (2)"/>
      <sheetName val="Balança Com. por Produto 2016"/>
      <sheetName val="Balança Com.Geográfica 2016"/>
      <sheetName val="BC PRODUTO_Anexo"/>
      <sheetName val="Nota Informativa"/>
      <sheetName val="BC PRODUTO_PUBLICAÇÃO 2013"/>
      <sheetName val="BC GEOGRAFICA_PUBLICAÇÃO 2013"/>
    </sheetNames>
    <sheetDataSet>
      <sheetData sheetId="0"/>
      <sheetData sheetId="1"/>
      <sheetData sheetId="2"/>
      <sheetData sheetId="3">
        <row r="5">
          <cell r="DP5">
            <v>10265.354005470932</v>
          </cell>
          <cell r="DQ5">
            <v>186.5503157387642</v>
          </cell>
          <cell r="DW5">
            <v>811.92207769280594</v>
          </cell>
          <cell r="EA5">
            <v>1326.7281982305553</v>
          </cell>
          <cell r="EG5">
            <v>9076.5092789868322</v>
          </cell>
        </row>
        <row r="9">
          <cell r="DQ9">
            <v>11.379682146511509</v>
          </cell>
          <cell r="DW9">
            <v>12.707212659288315</v>
          </cell>
          <cell r="EA9">
            <v>11.365909545545474</v>
          </cell>
          <cell r="ED9">
            <v>2.4247668694495053</v>
          </cell>
          <cell r="EE9">
            <v>6.953325581988949</v>
          </cell>
        </row>
        <row r="11">
          <cell r="DQ11">
            <v>1.8966136910852518</v>
          </cell>
          <cell r="ED11">
            <v>11.730823775873985</v>
          </cell>
        </row>
        <row r="13">
          <cell r="ED13">
            <v>5.7776116242408699</v>
          </cell>
          <cell r="EE13">
            <v>0.55010487199279667</v>
          </cell>
        </row>
        <row r="16">
          <cell r="ED16">
            <v>156.45397888339599</v>
          </cell>
          <cell r="EE16">
            <v>76.46633754258913</v>
          </cell>
        </row>
        <row r="17">
          <cell r="EE17">
            <v>159.33661933711042</v>
          </cell>
        </row>
        <row r="18">
          <cell r="ED18">
            <v>185.48688795877766</v>
          </cell>
          <cell r="EE18">
            <v>163.17994062388053</v>
          </cell>
        </row>
        <row r="19">
          <cell r="ED19">
            <v>1059.4371730486182</v>
          </cell>
          <cell r="EE19">
            <v>520.71008505061411</v>
          </cell>
        </row>
        <row r="20">
          <cell r="DQ20">
            <v>3.9183327627687143</v>
          </cell>
          <cell r="DW20">
            <v>1.3342573292252731</v>
          </cell>
          <cell r="ED20">
            <v>77.375744314106868</v>
          </cell>
          <cell r="EE20">
            <v>60.572509543219311</v>
          </cell>
        </row>
        <row r="23">
          <cell r="ED23">
            <v>0</v>
          </cell>
          <cell r="EE23">
            <v>18.234265460367364</v>
          </cell>
        </row>
        <row r="24">
          <cell r="DQ24">
            <v>9.589523580123867</v>
          </cell>
          <cell r="DW24">
            <v>185.98853328359365</v>
          </cell>
          <cell r="EA24">
            <v>368.55868332757461</v>
          </cell>
          <cell r="ED24">
            <v>339.39354990226855</v>
          </cell>
          <cell r="EE24">
            <v>4.5693471003312069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a Comercial Geográfica "/>
      <sheetName val="Parceiros comerciais "/>
      <sheetName val="Calculo de IPC Anual"/>
      <sheetName val="Câmbio Kz-eur"/>
      <sheetName val="Câmbio Yuan Chinês"/>
      <sheetName val="IPC 2011 "/>
      <sheetName val="Tx de Cambio Efetiva base 2001 "/>
      <sheetName val="Publicação "/>
      <sheetName val="Analise N"/>
      <sheetName val="Analise %."/>
      <sheetName val="Cambio USD"/>
      <sheetName val="IPC 2015"/>
      <sheetName val="Tx de Cambio Efetiva base 2015"/>
      <sheetName val="Publicação  (2016)"/>
      <sheetName val="Publicação 2014"/>
    </sheetNames>
    <sheetDataSet>
      <sheetData sheetId="0">
        <row r="54">
          <cell r="D54">
            <v>4304.4170000000004</v>
          </cell>
          <cell r="E54">
            <v>3582.8240000000001</v>
          </cell>
          <cell r="F54">
            <v>4311.2809999999999</v>
          </cell>
          <cell r="G54">
            <v>6673.2420000000002</v>
          </cell>
          <cell r="H54">
            <v>10225.290000000001</v>
          </cell>
          <cell r="I54">
            <v>13017.013000000001</v>
          </cell>
          <cell r="J54">
            <v>15964.398999999998</v>
          </cell>
          <cell r="K54">
            <v>26178.565999999999</v>
          </cell>
          <cell r="L54">
            <v>15166.897760000002</v>
          </cell>
          <cell r="M54">
            <v>14310.691309686417</v>
          </cell>
          <cell r="N54">
            <v>12701.869382838571</v>
          </cell>
          <cell r="O54">
            <v>28881.024510488049</v>
          </cell>
          <cell r="P54">
            <v>36578.376565213533</v>
          </cell>
          <cell r="Q54">
            <v>40922.367413954606</v>
          </cell>
          <cell r="R54">
            <v>32039.383324278955</v>
          </cell>
        </row>
        <row r="57">
          <cell r="D57">
            <v>3328.319</v>
          </cell>
          <cell r="E57">
            <v>5268.1730000000007</v>
          </cell>
          <cell r="F57">
            <v>5842.7069999999994</v>
          </cell>
          <cell r="G57">
            <v>3975.5660000000003</v>
          </cell>
          <cell r="H57">
            <v>3432.24</v>
          </cell>
          <cell r="I57">
            <v>3775.625</v>
          </cell>
          <cell r="J57">
            <v>2450.0970000000002</v>
          </cell>
          <cell r="K57">
            <v>2369.7169999999996</v>
          </cell>
          <cell r="L57">
            <v>3138.3725100000001</v>
          </cell>
          <cell r="M57">
            <v>3278.8825482606271</v>
          </cell>
          <cell r="N57">
            <v>3999.9991147800347</v>
          </cell>
          <cell r="O57">
            <v>5219.477663121851</v>
          </cell>
          <cell r="P57">
            <v>4349.7883375075053</v>
          </cell>
          <cell r="Q57">
            <v>5280.4997845138932</v>
          </cell>
          <cell r="R57">
            <v>3918.9214082893213</v>
          </cell>
        </row>
        <row r="58">
          <cell r="N58">
            <v>2620.0703167836991</v>
          </cell>
          <cell r="O58">
            <v>1790.3436317484543</v>
          </cell>
          <cell r="P58">
            <v>2427.0537171551914</v>
          </cell>
          <cell r="Q58">
            <v>3931.074666254463</v>
          </cell>
          <cell r="R58">
            <v>4527.3595967771771</v>
          </cell>
        </row>
        <row r="60">
          <cell r="N60">
            <v>1665.8641292341658</v>
          </cell>
          <cell r="O60">
            <v>4326.6313018622204</v>
          </cell>
          <cell r="P60">
            <v>1236.7834906980938</v>
          </cell>
          <cell r="Q60">
            <v>4042.7818677191176</v>
          </cell>
          <cell r="R60">
            <v>3685.7236603104502</v>
          </cell>
        </row>
        <row r="69">
          <cell r="D69">
            <v>2145.0680000000002</v>
          </cell>
          <cell r="E69">
            <v>4759.8980000000001</v>
          </cell>
          <cell r="F69">
            <v>2868.5650000000001</v>
          </cell>
          <cell r="G69">
            <v>2239.9580000000001</v>
          </cell>
          <cell r="H69">
            <v>1476.9169999999999</v>
          </cell>
          <cell r="I69">
            <v>1592.5990000000002</v>
          </cell>
          <cell r="J69">
            <v>1661.5709999999999</v>
          </cell>
          <cell r="K69">
            <v>1733.7290000000003</v>
          </cell>
          <cell r="L69">
            <v>2062.0650800000003</v>
          </cell>
          <cell r="M69">
            <v>1193.5032811619058</v>
          </cell>
          <cell r="N69">
            <v>2608.3881117711571</v>
          </cell>
          <cell r="O69">
            <v>3024.5450471521708</v>
          </cell>
          <cell r="P69">
            <v>2410.5284829605116</v>
          </cell>
          <cell r="Q69">
            <v>3920.4815520643315</v>
          </cell>
          <cell r="R69">
            <v>4626.7369041663151</v>
          </cell>
        </row>
        <row r="70">
          <cell r="D70">
            <v>13548.228999999999</v>
          </cell>
          <cell r="E70">
            <v>17971.634999999998</v>
          </cell>
          <cell r="F70">
            <v>27556.224000000002</v>
          </cell>
          <cell r="G70">
            <v>25859.188999999998</v>
          </cell>
          <cell r="H70">
            <v>29674.805999999997</v>
          </cell>
          <cell r="I70">
            <v>46316.299999999996</v>
          </cell>
          <cell r="J70">
            <v>54091.957000000002</v>
          </cell>
          <cell r="K70">
            <v>72697.275000000009</v>
          </cell>
          <cell r="L70">
            <v>59678.025600000001</v>
          </cell>
          <cell r="M70">
            <v>73781.082986927257</v>
          </cell>
          <cell r="N70">
            <v>78231.21416171873</v>
          </cell>
          <cell r="O70">
            <v>73630.316702471711</v>
          </cell>
          <cell r="P70">
            <v>89917.834126923684</v>
          </cell>
          <cell r="Q70">
            <v>102364.56506065051</v>
          </cell>
          <cell r="R70">
            <v>82391.203596533145</v>
          </cell>
        </row>
        <row r="81">
          <cell r="D81">
            <v>30758.63</v>
          </cell>
          <cell r="E81">
            <v>36091.778296147961</v>
          </cell>
          <cell r="F81">
            <v>47280.65400000001</v>
          </cell>
          <cell r="G81">
            <v>44870.924000000014</v>
          </cell>
          <cell r="H81">
            <v>53124.933999999994</v>
          </cell>
          <cell r="I81">
            <v>74674.37999999999</v>
          </cell>
          <cell r="J81">
            <v>83016.931000000011</v>
          </cell>
          <cell r="K81">
            <v>119725.69499999999</v>
          </cell>
          <cell r="L81">
            <v>108470.02626200003</v>
          </cell>
          <cell r="M81">
            <v>122776.79989592526</v>
          </cell>
          <cell r="N81">
            <v>137448.8425278143</v>
          </cell>
          <cell r="O81">
            <v>137692.93486616801</v>
          </cell>
          <cell r="P81">
            <v>156707.12609334776</v>
          </cell>
          <cell r="Q81">
            <v>182007.17182932422</v>
          </cell>
          <cell r="R81">
            <v>151576.91622292437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a Comercial Geográfica "/>
      <sheetName val="Parceiros comerciais "/>
      <sheetName val="Câmbio Kz-eur"/>
      <sheetName val="Câmbio Yuan Chinês"/>
      <sheetName val="IPC 2014"/>
      <sheetName val="Tx de Cambio Efetiva base 2014"/>
      <sheetName val="Publicação  (2014)"/>
      <sheetName val="Calculo de IPC Anual"/>
      <sheetName val="IPC 2011 "/>
      <sheetName val="Tx de Cambio Efetiva base 2001 "/>
      <sheetName val="Publicação "/>
      <sheetName val="Analise N"/>
      <sheetName val="Analise %."/>
      <sheetName val="Cambio USD"/>
      <sheetName val="Fo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4">
          <cell r="C14">
            <v>19.581416666666701</v>
          </cell>
          <cell r="D14">
            <v>41.20825</v>
          </cell>
          <cell r="E14">
            <v>83.979416666666665</v>
          </cell>
          <cell r="F14">
            <v>103.55708333333332</v>
          </cell>
          <cell r="G14">
            <v>108.90708333333333</v>
          </cell>
          <cell r="H14">
            <v>100.78897499999999</v>
          </cell>
          <cell r="I14">
            <v>105.10779166666667</v>
          </cell>
          <cell r="J14">
            <v>110.32816666666666</v>
          </cell>
          <cell r="K14">
            <v>110.32183333333334</v>
          </cell>
          <cell r="L14">
            <v>122.04191666666668</v>
          </cell>
          <cell r="M14">
            <v>130.76874999999998</v>
          </cell>
          <cell r="N14">
            <v>123.02606615141572</v>
          </cell>
          <cell r="O14">
            <v>127.28899999999999</v>
          </cell>
          <cell r="P14">
            <v>128.10089473684206</v>
          </cell>
          <cell r="Q14">
            <v>124.50605263157894</v>
          </cell>
          <cell r="R14">
            <v>125.00604545454544</v>
          </cell>
          <cell r="S14">
            <v>124.79895454545455</v>
          </cell>
          <cell r="T14">
            <v>126.8052857142857</v>
          </cell>
          <cell r="U14">
            <v>125.92004347826087</v>
          </cell>
          <cell r="V14">
            <v>127.82075</v>
          </cell>
          <cell r="W14">
            <v>129</v>
          </cell>
          <cell r="X14">
            <v>132.86517391304346</v>
          </cell>
          <cell r="Y14">
            <v>131.57320000000001</v>
          </cell>
        </row>
        <row r="28">
          <cell r="AO28">
            <v>46.993510615401242</v>
          </cell>
          <cell r="AQ28">
            <v>46.384983792337231</v>
          </cell>
          <cell r="AR28">
            <v>46.508803920075621</v>
          </cell>
          <cell r="AS28">
            <v>46.880160985152322</v>
          </cell>
          <cell r="AT28">
            <v>47.575323779790416</v>
          </cell>
          <cell r="AU28">
            <v>47.974936774165805</v>
          </cell>
          <cell r="AV28">
            <v>48.179213941278817</v>
          </cell>
          <cell r="AW28">
            <v>48.762377561024934</v>
          </cell>
          <cell r="AX28">
            <v>48.989875396318396</v>
          </cell>
          <cell r="AY28">
            <v>48.553263592211479</v>
          </cell>
          <cell r="AZ28">
            <v>48.648886786594829</v>
          </cell>
        </row>
        <row r="46">
          <cell r="AO46">
            <v>138.4666180066383</v>
          </cell>
          <cell r="AQ46">
            <v>135.50381126461104</v>
          </cell>
          <cell r="AR46">
            <v>135.79136028230559</v>
          </cell>
          <cell r="AS46">
            <v>136.35260761493228</v>
          </cell>
          <cell r="AT46">
            <v>138.35775215327578</v>
          </cell>
          <cell r="AU46">
            <v>140.28049605514809</v>
          </cell>
          <cell r="AV46">
            <v>141.08815637801283</v>
          </cell>
          <cell r="AW46">
            <v>141.64959525488584</v>
          </cell>
          <cell r="AX46">
            <v>142.27237065182476</v>
          </cell>
          <cell r="AY46">
            <v>141.529546839153</v>
          </cell>
          <cell r="AZ46">
            <v>142.74023613710617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_Cambio_Dobras_EURO"/>
      <sheetName val="Taxa_Cambio_USD_Dobra"/>
      <sheetName val="Tx_Cambio_Mercado_Dobra_EURO"/>
      <sheetName val="Tx_Cambio_Mercado_USD_Dobra"/>
      <sheetName val="Tx_Cambio_Internacional_USD_EUR"/>
      <sheetName val="Cambio Diário de B Central AUX"/>
    </sheetNames>
    <sheetDataSet>
      <sheetData sheetId="0"/>
      <sheetData sheetId="1">
        <row r="9">
          <cell r="P9">
            <v>21815.07</v>
          </cell>
        </row>
        <row r="24">
          <cell r="Q24">
            <v>21803.505000000008</v>
          </cell>
        </row>
        <row r="27">
          <cell r="Q27">
            <v>21979.766818181819</v>
          </cell>
        </row>
        <row r="32">
          <cell r="Q32">
            <v>22300.517</v>
          </cell>
        </row>
        <row r="35">
          <cell r="Q35">
            <v>22018.700434782611</v>
          </cell>
        </row>
        <row r="38">
          <cell r="Q38">
            <v>22013.848999999998</v>
          </cell>
        </row>
        <row r="43">
          <cell r="Q43">
            <v>22368.362380952385</v>
          </cell>
        </row>
        <row r="46">
          <cell r="Q46">
            <v>22838.13590909091</v>
          </cell>
        </row>
        <row r="49">
          <cell r="Q49">
            <v>23385.514000000003</v>
          </cell>
        </row>
        <row r="50">
          <cell r="N50">
            <v>18595.543308625231</v>
          </cell>
          <cell r="O50">
            <v>18593.920434073902</v>
          </cell>
          <cell r="P50">
            <v>22243.849394471024</v>
          </cell>
          <cell r="Q50">
            <v>22301.256775264083</v>
          </cell>
        </row>
      </sheetData>
      <sheetData sheetId="2"/>
      <sheetData sheetId="3"/>
      <sheetData sheetId="4"/>
      <sheetData sheetId="5">
        <row r="589">
          <cell r="H589">
            <v>22760.49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_Cambio_Mercado_Dobra_EURO"/>
      <sheetName val="Tx_Cambio_Mercado_USD_Dobra"/>
      <sheetName val="Taxa_Cambio_USD_Dobra"/>
      <sheetName val="Tx_Cambio_Dobras_EURO"/>
      <sheetName val="Tx_Cambio_Internacional_USD_EUR"/>
      <sheetName val="Cambio Diário de B Central AUX"/>
    </sheetNames>
    <sheetDataSet>
      <sheetData sheetId="0"/>
      <sheetData sheetId="1"/>
      <sheetData sheetId="2">
        <row r="10">
          <cell r="N10">
            <v>18583.208095238097</v>
          </cell>
          <cell r="Q10">
            <v>22368.236842105256</v>
          </cell>
        </row>
        <row r="21">
          <cell r="Q21">
            <v>21779.780952380952</v>
          </cell>
        </row>
      </sheetData>
      <sheetData sheetId="3"/>
      <sheetData sheetId="4"/>
      <sheetData sheetId="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_Cambio_Mercado_Dobra_EURO"/>
      <sheetName val="Tx_Cambio_Mercado_USD_Dobra"/>
      <sheetName val="Taxa_Cambio_USD_Dobra"/>
      <sheetName val="Tx_Cambio_Dobras_EURO"/>
      <sheetName val="Tx_Cambio_Internacional_USD_EUR"/>
      <sheetName val="Cambio Diário de B Central AUX"/>
    </sheetNames>
    <sheetDataSet>
      <sheetData sheetId="0"/>
      <sheetData sheetId="1">
        <row r="157">
          <cell r="C157">
            <v>22233.977999999996</v>
          </cell>
        </row>
      </sheetData>
      <sheetData sheetId="2">
        <row r="10">
          <cell r="Q10">
            <v>22368.236842105256</v>
          </cell>
        </row>
        <row r="16">
          <cell r="Q16">
            <v>22274.663913043481</v>
          </cell>
        </row>
      </sheetData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a Comercial CIF"/>
      <sheetName val="Balança Comercial Geográfica "/>
      <sheetName val="Parceiros comerciais "/>
      <sheetName val="Câmbio Kz-eur"/>
      <sheetName val="Câmbio Yuan Chinês"/>
      <sheetName val="IPC "/>
      <sheetName val="Tx de Cambio exc. ESP e China"/>
      <sheetName val="Publicação exc. ESP e China "/>
      <sheetName val="Análise Gráfica"/>
      <sheetName val="Folh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0">
          <cell r="BH30">
            <v>109.6061343186194</v>
          </cell>
        </row>
        <row r="47">
          <cell r="BH47" t="e">
            <v>#DIV/0!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_Cambio_Mercado_Dobra_EURO"/>
      <sheetName val="Tx_Cambio_Mercado_USD_Dobra"/>
      <sheetName val="Taxa_Cambio_USD_Dobra"/>
      <sheetName val="Tx_Cambio_Dobras_EURO"/>
      <sheetName val="Tx_Cambio_Internacional_USD_EUR"/>
      <sheetName val="Cambio Diário de B Central AUX"/>
    </sheetNames>
    <sheetDataSet>
      <sheetData sheetId="0" refreshError="1"/>
      <sheetData sheetId="1" refreshError="1"/>
      <sheetData sheetId="2" refreshError="1">
        <row r="21">
          <cell r="P21">
            <v>22936.109545454543</v>
          </cell>
        </row>
        <row r="35">
          <cell r="P35">
            <v>22189.170476190477</v>
          </cell>
        </row>
        <row r="46">
          <cell r="P46">
            <v>22950.647619047621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3"/>
      <sheetName val="Outros regimesMaio 2014 (3)"/>
      <sheetName val="Quadro de Junho"/>
      <sheetName val="Quadro de Maio"/>
      <sheetName val="tabela de exp"/>
      <sheetName val="ExportMaio e junho 2014 (2)"/>
      <sheetName val="tabela de impo"/>
      <sheetName val="Folha2"/>
      <sheetName val="frete"/>
      <sheetName val="Imp.geo.cifmai"/>
      <sheetName val="ImportMaio e junho 2014"/>
      <sheetName val="Imp.geo.cifjuin"/>
      <sheetName val="import de junho"/>
      <sheetName val="outros regimes junho"/>
      <sheetName val="expot de junho"/>
      <sheetName val="Fo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E5">
            <v>245871.71184091925</v>
          </cell>
        </row>
        <row r="6">
          <cell r="E6">
            <v>2942416.9195359545</v>
          </cell>
        </row>
        <row r="7">
          <cell r="E7">
            <v>92637.283498476449</v>
          </cell>
        </row>
        <row r="8">
          <cell r="E8">
            <v>86802.031936636718</v>
          </cell>
        </row>
        <row r="10">
          <cell r="E10">
            <v>200742.36462060703</v>
          </cell>
        </row>
        <row r="11">
          <cell r="E11">
            <v>35056.276059659744</v>
          </cell>
        </row>
        <row r="12">
          <cell r="E12">
            <v>148469.31901505415</v>
          </cell>
        </row>
        <row r="13">
          <cell r="E13">
            <v>71766.759440772017</v>
          </cell>
        </row>
        <row r="14">
          <cell r="E14">
            <v>65838.206488545577</v>
          </cell>
        </row>
        <row r="15">
          <cell r="E15">
            <v>271872.2026769942</v>
          </cell>
        </row>
        <row r="18">
          <cell r="E18">
            <v>393397.77097174514</v>
          </cell>
        </row>
        <row r="19">
          <cell r="E19">
            <v>87674.452527922709</v>
          </cell>
        </row>
        <row r="20">
          <cell r="E20">
            <v>5478.3062814880313</v>
          </cell>
        </row>
        <row r="23">
          <cell r="E23">
            <v>143721.44251021234</v>
          </cell>
        </row>
        <row r="24">
          <cell r="E24">
            <v>45600.263679633703</v>
          </cell>
        </row>
        <row r="27">
          <cell r="E27">
            <v>9914836.1064055189</v>
          </cell>
        </row>
        <row r="29">
          <cell r="E29">
            <v>486.54075815689276</v>
          </cell>
        </row>
        <row r="32">
          <cell r="E32">
            <v>75.035173059246077</v>
          </cell>
        </row>
        <row r="33">
          <cell r="E33">
            <v>366989.43215900502</v>
          </cell>
        </row>
        <row r="39">
          <cell r="E39">
            <v>340533.94914256799</v>
          </cell>
        </row>
      </sheetData>
      <sheetData sheetId="10"/>
      <sheetData sheetId="11">
        <row r="6">
          <cell r="E6">
            <v>3897.3</v>
          </cell>
        </row>
        <row r="7">
          <cell r="E7">
            <v>743662.40000000014</v>
          </cell>
        </row>
        <row r="11">
          <cell r="E11">
            <v>131907.9</v>
          </cell>
        </row>
        <row r="13">
          <cell r="E13">
            <v>2009.6</v>
          </cell>
        </row>
        <row r="14">
          <cell r="E14">
            <v>61586.1</v>
          </cell>
        </row>
        <row r="15">
          <cell r="E15">
            <v>5569.5</v>
          </cell>
        </row>
        <row r="16">
          <cell r="E16">
            <v>62685.300000000017</v>
          </cell>
        </row>
        <row r="17">
          <cell r="E17">
            <v>115578.5</v>
          </cell>
        </row>
        <row r="18">
          <cell r="E18">
            <v>170455.89999999997</v>
          </cell>
        </row>
        <row r="19">
          <cell r="E19">
            <v>43024.2</v>
          </cell>
        </row>
        <row r="20">
          <cell r="E20">
            <v>112858.00000000001</v>
          </cell>
        </row>
        <row r="23">
          <cell r="F23">
            <v>29762.600000000002</v>
          </cell>
        </row>
        <row r="25">
          <cell r="E25">
            <v>10322.4</v>
          </cell>
        </row>
        <row r="26">
          <cell r="E26">
            <v>31256.7</v>
          </cell>
        </row>
        <row r="28">
          <cell r="E28">
            <v>7718927.8000000073</v>
          </cell>
        </row>
        <row r="29">
          <cell r="E29">
            <v>44740.200000000012</v>
          </cell>
        </row>
        <row r="36">
          <cell r="E36">
            <v>204877.99999999997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_Cambio_Mercado_Dobra_EURO"/>
      <sheetName val="Tx_Cambio_Mercado_USD_Dobra"/>
      <sheetName val="Taxa_Cambio_USD_Dobra"/>
      <sheetName val="Tx_Cambio_Dobras_EURO"/>
      <sheetName val="Tx_Cambio_Internacional_USD_EUR"/>
      <sheetName val="Cambio Diário de B Central AUX"/>
    </sheetNames>
    <sheetDataSet>
      <sheetData sheetId="0" refreshError="1"/>
      <sheetData sheetId="1" refreshError="1"/>
      <sheetData sheetId="2" refreshError="1">
        <row r="49">
          <cell r="P49">
            <v>22722.941904761905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de Julho"/>
      <sheetName val="Julho 2014"/>
      <sheetName val="tabela de imp"/>
      <sheetName val="Imp.geo.cif"/>
      <sheetName val="ImportJulho 2014"/>
      <sheetName val="tabela de export"/>
      <sheetName val="Reexportação"/>
      <sheetName val="Frete"/>
      <sheetName val="Donativos DEEF"/>
      <sheetName val="Impor Geo DEFF"/>
      <sheetName val="Impor Prod DEEF"/>
      <sheetName val="Expor  Prod DEEF"/>
      <sheetName val="Expor Geo DEEF"/>
      <sheetName val="Import Geo DEFF"/>
      <sheetName val="ExportJulho 2014 "/>
      <sheetName val="Folha1"/>
      <sheetName val="Out RegiimesJulho 2014"/>
    </sheetNames>
    <sheetDataSet>
      <sheetData sheetId="0"/>
      <sheetData sheetId="1"/>
      <sheetData sheetId="2"/>
      <sheetData sheetId="3">
        <row r="5">
          <cell r="E5">
            <v>24005.122117117589</v>
          </cell>
        </row>
        <row r="6">
          <cell r="E6">
            <v>5989968.6315822992</v>
          </cell>
        </row>
        <row r="8">
          <cell r="E8">
            <v>1172652.3318058969</v>
          </cell>
        </row>
        <row r="10">
          <cell r="E10">
            <v>21101.804541244888</v>
          </cell>
        </row>
        <row r="11">
          <cell r="E11">
            <v>631224.1653495793</v>
          </cell>
        </row>
        <row r="12">
          <cell r="E12">
            <v>82844.638830987096</v>
          </cell>
        </row>
        <row r="13">
          <cell r="E13">
            <v>112133.44020079373</v>
          </cell>
        </row>
        <row r="14">
          <cell r="E14">
            <v>48365.282934346236</v>
          </cell>
        </row>
        <row r="15">
          <cell r="E15">
            <v>61721.695723087389</v>
          </cell>
        </row>
        <row r="16">
          <cell r="E16">
            <v>317928.71987970831</v>
          </cell>
        </row>
        <row r="20">
          <cell r="E20">
            <v>224132.49749803878</v>
          </cell>
        </row>
        <row r="21">
          <cell r="E21">
            <v>110.10111601469282</v>
          </cell>
        </row>
        <row r="24">
          <cell r="F24">
            <v>10111.061111535044</v>
          </cell>
        </row>
        <row r="25">
          <cell r="E25">
            <v>96452.128410037272</v>
          </cell>
        </row>
        <row r="28">
          <cell r="E28">
            <v>8642775.5206906702</v>
          </cell>
        </row>
        <row r="29">
          <cell r="E29">
            <v>78579.205202542202</v>
          </cell>
        </row>
        <row r="30">
          <cell r="E30">
            <v>42076.950665112701</v>
          </cell>
        </row>
        <row r="31">
          <cell r="E31">
            <v>12200.027339038666</v>
          </cell>
        </row>
        <row r="38">
          <cell r="E38">
            <v>263251.18976970977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a comercial de Setemb (2)"/>
      <sheetName val="TABELA DE EXPORTAÇÃO"/>
      <sheetName val="Quadros"/>
      <sheetName val="tabela de import"/>
      <sheetName val="Folha5"/>
      <sheetName val="1ºImp Produto BC "/>
      <sheetName val="2º Combustivel (Imp)"/>
      <sheetName val="3º  Impo Geog BC"/>
      <sheetName val="4ºExp Produto BC"/>
      <sheetName val="5º Exp Geogr BC"/>
      <sheetName val="6º Frete (Imp)"/>
      <sheetName val="7ºDonativo (Imp)"/>
      <sheetName val="8º Reexportação (Outros Regime)"/>
      <sheetName val="Exportação"/>
      <sheetName val="Imp.geo.cif"/>
      <sheetName val="Importação (2)"/>
      <sheetName val="Folha1"/>
      <sheetName val="outros regimes"/>
      <sheetName val="Folh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E5">
            <v>10244.945763788641</v>
          </cell>
        </row>
        <row r="6">
          <cell r="E6">
            <v>12056.300405814969</v>
          </cell>
        </row>
        <row r="8">
          <cell r="E8">
            <v>4625449.4146032603</v>
          </cell>
        </row>
        <row r="10">
          <cell r="E10">
            <v>380237.56079099851</v>
          </cell>
        </row>
        <row r="13">
          <cell r="E13">
            <v>804986.10621009325</v>
          </cell>
        </row>
        <row r="14">
          <cell r="E14">
            <v>127461.73571601548</v>
          </cell>
        </row>
        <row r="15">
          <cell r="E15">
            <v>86316.540865074625</v>
          </cell>
        </row>
        <row r="17">
          <cell r="E17">
            <v>326652.77135665499</v>
          </cell>
        </row>
        <row r="18">
          <cell r="E18">
            <v>112537.37214102778</v>
          </cell>
        </row>
        <row r="19">
          <cell r="E19">
            <v>26734.987414599065</v>
          </cell>
        </row>
        <row r="20">
          <cell r="E20">
            <v>451775.82449839253</v>
          </cell>
        </row>
        <row r="21">
          <cell r="E21">
            <v>2451.6342675149886</v>
          </cell>
        </row>
        <row r="22">
          <cell r="E22">
            <v>50538.192839163712</v>
          </cell>
        </row>
        <row r="23">
          <cell r="E23">
            <v>7050.5737076769383</v>
          </cell>
        </row>
        <row r="24">
          <cell r="E24">
            <v>155619.77962706122</v>
          </cell>
        </row>
        <row r="26">
          <cell r="E26">
            <v>10622458.407372795</v>
          </cell>
        </row>
        <row r="34">
          <cell r="E34">
            <v>221142.84907058833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ustivel "/>
      <sheetName val="Imp.geo.cif"/>
      <sheetName val=" OUTUBRO E Novembro (2)"/>
      <sheetName val="Base "/>
      <sheetName val="Folha3"/>
      <sheetName val="tabela"/>
      <sheetName val="Quadro"/>
      <sheetName val="Folha2"/>
      <sheetName val="Produto( Importação)"/>
      <sheetName val="produtos petrolifreos"/>
      <sheetName val="exportação produto"/>
      <sheetName val="exportação geografica"/>
      <sheetName val="Folha7"/>
      <sheetName val="Folha6"/>
      <sheetName val="importação geograf"/>
      <sheetName val="Folha10"/>
      <sheetName val="fretes"/>
      <sheetName val="isenção"/>
      <sheetName val="copia"/>
      <sheetName val="Folha4"/>
      <sheetName val="Folha11"/>
    </sheetNames>
    <sheetDataSet>
      <sheetData sheetId="0"/>
      <sheetData sheetId="1">
        <row r="5">
          <cell r="E5">
            <v>31362.856965262945</v>
          </cell>
        </row>
        <row r="6">
          <cell r="E6">
            <v>37788.578652692595</v>
          </cell>
        </row>
        <row r="7">
          <cell r="E7">
            <v>3261357.9410917065</v>
          </cell>
        </row>
        <row r="9">
          <cell r="E9">
            <v>35568.460326519416</v>
          </cell>
        </row>
        <row r="10">
          <cell r="E10">
            <v>62000.312279589634</v>
          </cell>
        </row>
        <row r="12">
          <cell r="E12">
            <v>46492.256144264029</v>
          </cell>
        </row>
        <row r="13">
          <cell r="E13">
            <v>317412.10703705286</v>
          </cell>
        </row>
        <row r="14">
          <cell r="E14">
            <v>77461.693018735241</v>
          </cell>
        </row>
        <row r="15">
          <cell r="E15">
            <v>155076.00722881797</v>
          </cell>
        </row>
        <row r="16">
          <cell r="E16">
            <v>425580.05807917495</v>
          </cell>
        </row>
        <row r="17">
          <cell r="E17">
            <v>188119.81066990367</v>
          </cell>
        </row>
        <row r="18">
          <cell r="E18">
            <v>190067.1515673312</v>
          </cell>
        </row>
        <row r="21">
          <cell r="E21">
            <v>67660.87515340434</v>
          </cell>
        </row>
        <row r="22">
          <cell r="E22">
            <v>131962.4002171933</v>
          </cell>
        </row>
        <row r="23">
          <cell r="E23">
            <v>33590.151146609074</v>
          </cell>
        </row>
        <row r="25">
          <cell r="E25">
            <v>326101.77905358578</v>
          </cell>
        </row>
        <row r="28">
          <cell r="E28">
            <v>9114636.4531988911</v>
          </cell>
        </row>
        <row r="29">
          <cell r="E29">
            <v>11694.355748045495</v>
          </cell>
        </row>
        <row r="31">
          <cell r="G31">
            <v>410037.35950885958</v>
          </cell>
        </row>
        <row r="32">
          <cell r="E32">
            <v>24387.048160501316</v>
          </cell>
        </row>
        <row r="33">
          <cell r="E33">
            <v>14857.48938750758</v>
          </cell>
        </row>
        <row r="34">
          <cell r="E34">
            <v>3238927.6667677364</v>
          </cell>
        </row>
        <row r="35">
          <cell r="E35">
            <v>40196.208762886599</v>
          </cell>
        </row>
        <row r="36">
          <cell r="E36">
            <v>10886.909793814433</v>
          </cell>
        </row>
        <row r="38">
          <cell r="E38">
            <v>258639.12350919732</v>
          </cell>
        </row>
        <row r="39">
          <cell r="E39">
            <v>143403.63897311495</v>
          </cell>
        </row>
        <row r="40">
          <cell r="E40">
            <v>404563.2206387709</v>
          </cell>
        </row>
        <row r="41">
          <cell r="E41">
            <v>1236043.0042449965</v>
          </cell>
        </row>
        <row r="43">
          <cell r="E43">
            <v>79003.461693955935</v>
          </cell>
        </row>
        <row r="44">
          <cell r="E44">
            <v>930132.80392156891</v>
          </cell>
        </row>
        <row r="47">
          <cell r="E47">
            <v>11677.98665858096</v>
          </cell>
        </row>
        <row r="50">
          <cell r="E50">
            <v>343068.63836668682</v>
          </cell>
        </row>
        <row r="52">
          <cell r="E52">
            <v>8572399.3139781933</v>
          </cell>
        </row>
        <row r="54">
          <cell r="E54">
            <v>5505.2708206994139</v>
          </cell>
        </row>
        <row r="55">
          <cell r="E55">
            <v>3032.1406913280775</v>
          </cell>
        </row>
        <row r="62">
          <cell r="F62">
            <v>396284.66575702449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ativos"/>
      <sheetName val="Folha5"/>
      <sheetName val="Folha7"/>
      <sheetName val="Folha1"/>
      <sheetName val="Final"/>
      <sheetName val="Frete Importação"/>
      <sheetName val="REEXPORTAÇÃO"/>
      <sheetName val="Exportação Geografica"/>
      <sheetName val="Importação Produto"/>
      <sheetName val="Combustivel"/>
      <sheetName val="Exportação Produtos"/>
      <sheetName val="Importação Geografica"/>
      <sheetName val="Folha6"/>
      <sheetName val="Folha8"/>
    </sheetNames>
    <sheetDataSet>
      <sheetData sheetId="0"/>
      <sheetData sheetId="1"/>
      <sheetData sheetId="2"/>
      <sheetData sheetId="3">
        <row r="6">
          <cell r="B6">
            <v>8296.569995220616</v>
          </cell>
        </row>
        <row r="7">
          <cell r="B7">
            <v>83643.206431621744</v>
          </cell>
        </row>
        <row r="8">
          <cell r="B8">
            <v>3632507.6717957272</v>
          </cell>
        </row>
        <row r="9">
          <cell r="B9">
            <v>309423.27809987654</v>
          </cell>
        </row>
        <row r="10">
          <cell r="B10">
            <v>22954.316888240664</v>
          </cell>
        </row>
        <row r="12">
          <cell r="B12">
            <v>653.77421197723834</v>
          </cell>
        </row>
        <row r="13">
          <cell r="B13">
            <v>294659.16516843654</v>
          </cell>
        </row>
        <row r="14">
          <cell r="B14">
            <v>42718.519403294944</v>
          </cell>
        </row>
        <row r="15">
          <cell r="B15">
            <v>250264.29502343026</v>
          </cell>
        </row>
        <row r="16">
          <cell r="B16">
            <v>83095.990142439055</v>
          </cell>
        </row>
        <row r="17">
          <cell r="B17">
            <v>183478.07854646759</v>
          </cell>
        </row>
        <row r="18">
          <cell r="B18">
            <v>112926.92825491051</v>
          </cell>
        </row>
        <row r="20">
          <cell r="B20">
            <v>131033.32636799145</v>
          </cell>
        </row>
        <row r="21">
          <cell r="B21">
            <v>4107.0905521489012</v>
          </cell>
        </row>
        <row r="22">
          <cell r="B22">
            <v>255263.87214977451</v>
          </cell>
        </row>
        <row r="23">
          <cell r="B23">
            <v>345631.56374334334</v>
          </cell>
        </row>
        <row r="24">
          <cell r="B24">
            <v>10587817.91443667</v>
          </cell>
        </row>
        <row r="26">
          <cell r="B26">
            <v>1137.2073951341645</v>
          </cell>
        </row>
        <row r="30">
          <cell r="C30">
            <v>274982.78230206849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Outros regime"/>
      <sheetName val="Folha2"/>
      <sheetName val="Frete de Janeiro"/>
      <sheetName val="Donativos"/>
      <sheetName val="Imp.geo.cif"/>
      <sheetName val="Geral_Base Janeiro2015"/>
      <sheetName val="Quadro"/>
    </sheetNames>
    <sheetDataSet>
      <sheetData sheetId="0"/>
      <sheetData sheetId="1"/>
      <sheetData sheetId="2"/>
      <sheetData sheetId="3"/>
      <sheetData sheetId="4"/>
      <sheetData sheetId="5">
        <row r="5">
          <cell r="E5">
            <v>795.44129933210741</v>
          </cell>
        </row>
        <row r="6">
          <cell r="E6">
            <v>29785.369711648334</v>
          </cell>
        </row>
        <row r="7">
          <cell r="E7">
            <v>2437431.6609784062</v>
          </cell>
        </row>
        <row r="8">
          <cell r="E8">
            <v>82913.638596467936</v>
          </cell>
        </row>
        <row r="9">
          <cell r="E9">
            <v>52433.366697929181</v>
          </cell>
        </row>
        <row r="11">
          <cell r="E11">
            <v>2489.471423247363</v>
          </cell>
        </row>
        <row r="12">
          <cell r="E12">
            <v>442526.31921336049</v>
          </cell>
        </row>
        <row r="13">
          <cell r="E13">
            <v>118711.96734789868</v>
          </cell>
        </row>
        <row r="14">
          <cell r="E14">
            <v>96551.510747635635</v>
          </cell>
        </row>
        <row r="15">
          <cell r="E15">
            <v>101028.41738967161</v>
          </cell>
        </row>
        <row r="16">
          <cell r="E16">
            <v>45161.726572790605</v>
          </cell>
        </row>
        <row r="18">
          <cell r="E18">
            <v>42075.355022375297</v>
          </cell>
        </row>
        <row r="19">
          <cell r="E19">
            <v>82502.666212111581</v>
          </cell>
        </row>
        <row r="22">
          <cell r="E22">
            <v>36629.964030721349</v>
          </cell>
        </row>
        <row r="24">
          <cell r="E24">
            <v>27378.719615063284</v>
          </cell>
        </row>
        <row r="25">
          <cell r="E25">
            <v>184234.42671532111</v>
          </cell>
        </row>
        <row r="27">
          <cell r="E27">
            <v>5098155.3288680725</v>
          </cell>
        </row>
        <row r="29">
          <cell r="E29">
            <v>343507.55942801922</v>
          </cell>
        </row>
        <row r="30">
          <cell r="E30">
            <v>3105.7049191520996</v>
          </cell>
        </row>
        <row r="36">
          <cell r="E36">
            <v>334132.7392032895</v>
          </cell>
        </row>
      </sheetData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olha9"/>
      <sheetName val="Folha10"/>
      <sheetName val="Outros regimes"/>
      <sheetName val="Quadro"/>
      <sheetName val="Folha3"/>
      <sheetName val="produto fob cmb FEV"/>
      <sheetName val="geografica fob fev"/>
      <sheetName val="Folha5"/>
      <sheetName val="frete fev 15"/>
      <sheetName val="x fever 15"/>
      <sheetName val="Folha8"/>
      <sheetName val="x fever destino "/>
      <sheetName val="Folha4"/>
      <sheetName val="Don arroz Japão"/>
      <sheetName val="Imp.geo.cif"/>
      <sheetName val="BaseFevereiro 2015"/>
      <sheetName val="Folha1"/>
      <sheetName val="Folh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60815.818963772886</v>
          </cell>
        </row>
        <row r="6">
          <cell r="F6">
            <v>140980.92047657765</v>
          </cell>
        </row>
        <row r="7">
          <cell r="F7">
            <v>1389290.7492467246</v>
          </cell>
        </row>
        <row r="8">
          <cell r="F8">
            <v>19802.857111322857</v>
          </cell>
        </row>
        <row r="10">
          <cell r="F10">
            <v>2972.4732628682218</v>
          </cell>
        </row>
        <row r="11">
          <cell r="F11">
            <v>249364.30859635115</v>
          </cell>
        </row>
        <row r="12">
          <cell r="F12">
            <v>157060.2069253494</v>
          </cell>
        </row>
        <row r="13">
          <cell r="F13">
            <v>53209.237600850582</v>
          </cell>
        </row>
        <row r="14">
          <cell r="F14">
            <v>142663.60301015771</v>
          </cell>
        </row>
        <row r="15">
          <cell r="F15">
            <v>40833.759836725985</v>
          </cell>
        </row>
        <row r="16">
          <cell r="F16">
            <v>384277.21393016522</v>
          </cell>
        </row>
        <row r="19">
          <cell r="F19">
            <v>24671.967492356878</v>
          </cell>
        </row>
        <row r="20">
          <cell r="F20">
            <v>698664.74041896453</v>
          </cell>
        </row>
        <row r="22">
          <cell r="F22">
            <v>87467.464304503461</v>
          </cell>
        </row>
        <row r="24">
          <cell r="F24">
            <v>5482092.3110741563</v>
          </cell>
        </row>
        <row r="26">
          <cell r="F26">
            <v>87206.093895435464</v>
          </cell>
        </row>
        <row r="27">
          <cell r="F27">
            <v>23799.580594011324</v>
          </cell>
        </row>
        <row r="32">
          <cell r="F32">
            <v>278927.16040071665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AA151"/>
  <sheetViews>
    <sheetView workbookViewId="0">
      <pane xSplit="1" topLeftCell="I1" activePane="topRight" state="frozen"/>
      <selection pane="topRight" activeCell="AA51" sqref="AA51"/>
    </sheetView>
  </sheetViews>
  <sheetFormatPr defaultRowHeight="15" x14ac:dyDescent="0.25"/>
  <cols>
    <col min="1" max="1" width="38.28515625" style="117" customWidth="1"/>
    <col min="2" max="2" width="14.5703125" style="2" customWidth="1"/>
    <col min="3" max="13" width="11.42578125" style="2" customWidth="1"/>
    <col min="14" max="14" width="12.140625" style="2" bestFit="1" customWidth="1"/>
    <col min="15" max="23" width="11.42578125" style="2" customWidth="1"/>
    <col min="24" max="24" width="10.85546875" style="2" bestFit="1" customWidth="1"/>
    <col min="25" max="25" width="13.5703125" style="2" bestFit="1" customWidth="1"/>
    <col min="26" max="26" width="11.42578125" style="2" customWidth="1"/>
    <col min="27" max="27" width="13.140625" style="2" customWidth="1"/>
  </cols>
  <sheetData>
    <row r="1" spans="1:27" ht="18" x14ac:dyDescent="0.25">
      <c r="A1" s="89" t="s">
        <v>44</v>
      </c>
      <c r="B1" s="90" t="s">
        <v>45</v>
      </c>
    </row>
    <row r="2" spans="1:27" ht="18" x14ac:dyDescent="0.25">
      <c r="A2" s="89"/>
      <c r="B2" s="92" t="s">
        <v>46</v>
      </c>
    </row>
    <row r="3" spans="1:27" ht="15.75" x14ac:dyDescent="0.25">
      <c r="A3" s="95"/>
      <c r="B3" s="91" t="s">
        <v>47</v>
      </c>
    </row>
    <row r="4" spans="1:27" ht="16.5" thickBot="1" x14ac:dyDescent="0.3">
      <c r="A4" s="97"/>
      <c r="B4" s="98" t="s">
        <v>48</v>
      </c>
    </row>
    <row r="5" spans="1:27" ht="16.5" thickBot="1" x14ac:dyDescent="0.3">
      <c r="A5" s="105"/>
      <c r="B5" s="137">
        <v>41670</v>
      </c>
      <c r="C5" s="137">
        <v>41671</v>
      </c>
      <c r="D5" s="137">
        <v>41728</v>
      </c>
      <c r="E5" s="137">
        <v>41759</v>
      </c>
      <c r="F5" s="137">
        <v>41790</v>
      </c>
      <c r="G5" s="137">
        <v>41820</v>
      </c>
      <c r="H5" s="137">
        <v>41851</v>
      </c>
      <c r="I5" s="137">
        <v>41882</v>
      </c>
      <c r="J5" s="137">
        <v>41912</v>
      </c>
      <c r="K5" s="137">
        <v>41943</v>
      </c>
      <c r="L5" s="137">
        <v>41973</v>
      </c>
      <c r="M5" s="137">
        <v>42004</v>
      </c>
      <c r="N5" s="137" t="s">
        <v>38</v>
      </c>
      <c r="O5" s="137">
        <v>42035</v>
      </c>
      <c r="P5" s="137">
        <v>42036</v>
      </c>
      <c r="Q5" s="137">
        <v>42093</v>
      </c>
      <c r="R5" s="137">
        <v>42124</v>
      </c>
      <c r="S5" s="137">
        <v>42155</v>
      </c>
      <c r="T5" s="137">
        <v>42185</v>
      </c>
      <c r="U5" s="137">
        <v>42216</v>
      </c>
      <c r="V5" s="137">
        <v>42247</v>
      </c>
      <c r="W5" s="137">
        <v>42277</v>
      </c>
      <c r="X5" s="137">
        <v>42308</v>
      </c>
      <c r="Y5" s="137">
        <v>42338</v>
      </c>
      <c r="Z5" s="137">
        <v>42369</v>
      </c>
      <c r="AA5" s="137" t="s">
        <v>63</v>
      </c>
    </row>
    <row r="6" spans="1:27" ht="15.75" x14ac:dyDescent="0.25">
      <c r="A6" s="105" t="s">
        <v>64</v>
      </c>
      <c r="B6" s="110">
        <f>[1]Imp.geo.cif!$E$5/1000</f>
        <v>0.59763496416353146</v>
      </c>
      <c r="C6" s="110">
        <f>[1]Imp.geo.cif!$E$36/1000</f>
        <v>52.164328834638113</v>
      </c>
      <c r="D6" s="110">
        <f>[2]Imp.geo.cif!$E$5/1000</f>
        <v>3.5868294502734379</v>
      </c>
      <c r="E6" s="110">
        <f>[2]Imp.geo.cif!$E$34/1000</f>
        <v>4.7765929731638233</v>
      </c>
      <c r="F6" s="110">
        <f>+[3]Imp.geo.cifmai!$E$5/1000</f>
        <v>245.87171184091926</v>
      </c>
      <c r="G6" s="110">
        <f>+[3]Imp.geo.cifjuin!$E$6/1000</f>
        <v>3.8973</v>
      </c>
      <c r="H6" s="110">
        <f>[4]Imp.geo.cif!$E$5/1000</f>
        <v>24.00512211711759</v>
      </c>
      <c r="I6" s="110">
        <f>0</f>
        <v>0</v>
      </c>
      <c r="J6" s="110">
        <f>+[5]Imp.geo.cif!$E$5/1000</f>
        <v>10.244945763788641</v>
      </c>
      <c r="K6" s="110">
        <f>+[6]Imp.geo.cif!$E$5/1000</f>
        <v>31.362856965262946</v>
      </c>
      <c r="L6" s="110">
        <f>+[6]Imp.geo.cif!$E$32/1000</f>
        <v>24.387048160501315</v>
      </c>
      <c r="M6" s="110">
        <f>+[7]Folha1!$B$6/1000</f>
        <v>8.2965699952206151</v>
      </c>
      <c r="N6" s="110">
        <f>M6+L6+K6+J6+I6+H6+G6+F6+E6+D6+C6+B6</f>
        <v>409.19094106504929</v>
      </c>
      <c r="O6" s="110">
        <f>+[8]Imp.geo.cif!$E$5/1000</f>
        <v>0.79544129933210739</v>
      </c>
      <c r="P6" s="110">
        <f>+[9]Imp.geo.cif!$F$5/1000</f>
        <v>60.815818963772884</v>
      </c>
      <c r="Q6" s="110">
        <v>0</v>
      </c>
      <c r="R6" s="110">
        <v>0</v>
      </c>
      <c r="S6" s="110">
        <f>+[10]Imp.geo.cif!$E$5/1000</f>
        <v>3.8636150232635353</v>
      </c>
      <c r="T6" s="110">
        <v>0</v>
      </c>
      <c r="U6" s="110">
        <f>+[11]Imp.geo.cif!$E$5/1000</f>
        <v>21.627201337925548</v>
      </c>
      <c r="V6" s="110">
        <f>+[12]Imp.geo.cif!$B$7/1000</f>
        <v>3.6516104477995355</v>
      </c>
      <c r="W6" s="110">
        <f>+[13]Imp.geo.cif!$B$7/1000</f>
        <v>2.9915252141337358</v>
      </c>
      <c r="X6" s="110">
        <f>[14]Imp.geo.cif!$E$7/1000</f>
        <v>64.652083451935979</v>
      </c>
      <c r="Y6" s="110">
        <v>0</v>
      </c>
      <c r="Z6" s="110">
        <f>+[15]Folha1!$B$8/1000</f>
        <v>3.2503657097189009</v>
      </c>
      <c r="AA6" s="110">
        <f>+Z6+Y6+X6+W6+V6+U6+T6+S6+R6+Q6+P6+O6</f>
        <v>161.64766144788223</v>
      </c>
    </row>
    <row r="7" spans="1:27" ht="15.75" x14ac:dyDescent="0.25">
      <c r="A7" s="105" t="s">
        <v>65</v>
      </c>
      <c r="B7" s="110">
        <f>[1]Imp.geo.cif!$E$7/1000</f>
        <v>2932.3796420050767</v>
      </c>
      <c r="C7" s="110">
        <f>[1]Imp.geo.cif!$E$38/1000</f>
        <v>2860.5696569237957</v>
      </c>
      <c r="D7" s="110">
        <f>[2]Imp.geo.cif!$E$7/1000</f>
        <v>2962.1880276692177</v>
      </c>
      <c r="E7" s="110">
        <f>[2]Imp.geo.cif!$E$35/1000</f>
        <v>3059.5037304083503</v>
      </c>
      <c r="F7" s="110">
        <f>+[3]Imp.geo.cifmai!$E$6/1000</f>
        <v>2942.4169195359545</v>
      </c>
      <c r="G7" s="110">
        <f>+[3]Imp.geo.cifjuin!$E$7/1000</f>
        <v>743.66240000000016</v>
      </c>
      <c r="H7" s="110">
        <f>[4]Imp.geo.cif!$E$6/1000</f>
        <v>5989.9686315822992</v>
      </c>
      <c r="I7" s="110">
        <f>[16]Imp.geo.cif!$E$6/1000</f>
        <v>4484.4609839150517</v>
      </c>
      <c r="J7" s="110">
        <f>+[5]Imp.geo.cif!$E$8/1000</f>
        <v>4625.4494146032603</v>
      </c>
      <c r="K7" s="110">
        <f>+[6]Imp.geo.cif!$E$7/1000</f>
        <v>3261.3579410917064</v>
      </c>
      <c r="L7" s="110">
        <f>+[6]Imp.geo.cif!$E$34/1000</f>
        <v>3238.9276667677364</v>
      </c>
      <c r="M7" s="110">
        <f>+[7]Folha1!$B$8/1000</f>
        <v>3632.5076717957272</v>
      </c>
      <c r="N7" s="110">
        <f t="shared" ref="N7:N32" si="0">M7+L7+K7+J7+I7+H7+G7+F7+E7+D7+C7+B7</f>
        <v>40733.392686298183</v>
      </c>
      <c r="O7" s="110">
        <f>+[8]Imp.geo.cif!$E$7/1000</f>
        <v>2437.4316609784064</v>
      </c>
      <c r="P7" s="110">
        <f>+[9]Imp.geo.cif!$F$7/1000</f>
        <v>1389.2907492467245</v>
      </c>
      <c r="Q7" s="110">
        <f>+[17]Imp.geo.cif!$E$5/1000</f>
        <v>3361.9068852161995</v>
      </c>
      <c r="R7" s="110">
        <f>+[18]Imp.geo.cif!$F$6/1000</f>
        <v>85.875150145338495</v>
      </c>
      <c r="S7" s="110">
        <f>+[10]Imp.geo.cif!$E$7/1000</f>
        <v>3593.7673874848015</v>
      </c>
      <c r="T7" s="110">
        <f>+[19]Imp.geo.cif!$E$6/1000</f>
        <v>1897.1723224201066</v>
      </c>
      <c r="U7" s="110">
        <f>+[11]Imp.geo.cif!$E$7/1000</f>
        <v>2663.672310750494</v>
      </c>
      <c r="V7" s="110">
        <f>+[12]Imp.geo.cif!$B$9/1000</f>
        <v>3830.7520393056625</v>
      </c>
      <c r="W7" s="110">
        <f>+[13]Imp.geo.cif!$B$9/1000</f>
        <v>2420.049664660206</v>
      </c>
      <c r="X7" s="110">
        <f>[14]Imp.geo.cif!$E$9/1000</f>
        <v>4910.5019759922425</v>
      </c>
      <c r="Y7" s="110">
        <f>+[20]Imp.Geo.Cif!$B$8/1000</f>
        <v>3234.9308167608242</v>
      </c>
      <c r="Z7" s="110">
        <f>+[15]Folha1!$B$10/1000</f>
        <v>2037.6002077195999</v>
      </c>
      <c r="AA7" s="110">
        <f t="shared" ref="AA7:AA32" si="1">+Z7+Y7+X7+W7+V7+U7+T7+S7+R7+Q7+P7+O7</f>
        <v>31862.951170680604</v>
      </c>
    </row>
    <row r="8" spans="1:27" ht="15.75" x14ac:dyDescent="0.25">
      <c r="A8" s="105" t="s">
        <v>66</v>
      </c>
      <c r="B8" s="110">
        <f>0</f>
        <v>0</v>
      </c>
      <c r="C8" s="110">
        <f>0</f>
        <v>0</v>
      </c>
      <c r="D8" s="110">
        <f>0</f>
        <v>0</v>
      </c>
      <c r="E8" s="110">
        <f>0</f>
        <v>0</v>
      </c>
      <c r="F8" s="110">
        <v>0</v>
      </c>
      <c r="G8" s="110">
        <v>0</v>
      </c>
      <c r="H8" s="110">
        <f>0</f>
        <v>0</v>
      </c>
      <c r="I8" s="110">
        <f>0</f>
        <v>0</v>
      </c>
      <c r="J8" s="110">
        <v>0</v>
      </c>
      <c r="K8" s="110">
        <v>0</v>
      </c>
      <c r="L8" s="110">
        <v>0</v>
      </c>
      <c r="M8" s="110">
        <v>0</v>
      </c>
      <c r="N8" s="110">
        <f t="shared" si="0"/>
        <v>0</v>
      </c>
      <c r="O8" s="110">
        <v>0</v>
      </c>
      <c r="P8" s="110">
        <v>0</v>
      </c>
      <c r="Q8" s="110">
        <v>0</v>
      </c>
      <c r="R8" s="110">
        <v>0</v>
      </c>
      <c r="S8" s="110">
        <v>0</v>
      </c>
      <c r="T8" s="110">
        <v>0</v>
      </c>
      <c r="U8" s="110">
        <v>0</v>
      </c>
      <c r="V8" s="110">
        <v>0</v>
      </c>
      <c r="W8" s="110">
        <v>0</v>
      </c>
      <c r="X8" s="110">
        <f>0</f>
        <v>0</v>
      </c>
      <c r="Y8" s="110">
        <v>0</v>
      </c>
      <c r="Z8" s="110">
        <v>0</v>
      </c>
      <c r="AA8" s="110">
        <f t="shared" si="1"/>
        <v>0</v>
      </c>
    </row>
    <row r="9" spans="1:27" ht="15.75" x14ac:dyDescent="0.25">
      <c r="A9" s="105" t="s">
        <v>67</v>
      </c>
      <c r="B9" s="110">
        <f>[1]Imp.geo.cif!$E$11/1000</f>
        <v>29.842154581091076</v>
      </c>
      <c r="C9" s="110">
        <f>[1]Imp.geo.cif!$E$40/1000</f>
        <v>2.2461295810041655</v>
      </c>
      <c r="D9" s="110">
        <f>[2]Imp.geo.cif!$E$10/1000</f>
        <v>44.683502489590985</v>
      </c>
      <c r="E9" s="110">
        <f>[2]Imp.geo.cif!$E$38/1000</f>
        <v>63.395258164132606</v>
      </c>
      <c r="F9" s="110">
        <f>+[3]Imp.geo.cifmai!$E$8/1000</f>
        <v>86.802031936636723</v>
      </c>
      <c r="G9" s="110">
        <v>0</v>
      </c>
      <c r="H9" s="110">
        <f>0</f>
        <v>0</v>
      </c>
      <c r="I9" s="110">
        <f>0</f>
        <v>0</v>
      </c>
      <c r="J9" s="110">
        <v>0</v>
      </c>
      <c r="K9" s="110">
        <f>+[6]Imp.geo.cif!$E$10/1000</f>
        <v>62.000312279589636</v>
      </c>
      <c r="L9" s="110">
        <f>+[6]Imp.geo.cif!$E$36/1000</f>
        <v>10.886909793814434</v>
      </c>
      <c r="M9" s="110">
        <f>+[7]Folha1!$B$10/1000</f>
        <v>22.954316888240665</v>
      </c>
      <c r="N9" s="110">
        <f t="shared" si="0"/>
        <v>322.81061571410027</v>
      </c>
      <c r="O9" s="110">
        <f>+[8]Imp.geo.cif!$E$9/1000</f>
        <v>52.433366697929181</v>
      </c>
      <c r="P9" s="110">
        <v>0</v>
      </c>
      <c r="Q9" s="110">
        <f>+[17]Imp.geo.cif!$E$7/1000</f>
        <v>93.50997000309161</v>
      </c>
      <c r="R9" s="110">
        <v>0</v>
      </c>
      <c r="S9" s="110">
        <f>+[10]Imp.geo.cif!$E$10/1000</f>
        <v>97.214090164706718</v>
      </c>
      <c r="T9" s="110">
        <v>0</v>
      </c>
      <c r="U9" s="110">
        <f>+[11]Imp.geo.cif!$E$11/1000</f>
        <v>32.153301043494615</v>
      </c>
      <c r="V9" s="110">
        <f>+[12]Imp.geo.cif!$B$12/1000</f>
        <v>162.14834182621524</v>
      </c>
      <c r="W9" s="110">
        <f>+[13]Imp.geo.cif!$B$11/1000</f>
        <v>21.362702858753572</v>
      </c>
      <c r="X9" s="110">
        <f>[14]Imp.geo.cif!$E$11/1000</f>
        <v>35.150282801849244</v>
      </c>
      <c r="Y9" s="110">
        <f>+[20]Imp.Geo.Cif!$B$11/1000</f>
        <v>38.21839751013696</v>
      </c>
      <c r="Z9" s="110">
        <f>+[15]Folha1!$B$13/1000</f>
        <v>110.32922852412584</v>
      </c>
      <c r="AA9" s="110">
        <f t="shared" si="1"/>
        <v>642.51968143030285</v>
      </c>
    </row>
    <row r="10" spans="1:27" ht="15.75" x14ac:dyDescent="0.25">
      <c r="A10" s="105" t="s">
        <v>68</v>
      </c>
      <c r="B10" s="110">
        <f>[1]Imp.geo.cif!$E$10/1000</f>
        <v>264.72852088404903</v>
      </c>
      <c r="C10" s="110">
        <f>[1]Imp.geo.cif!$E$39/1000</f>
        <v>129.82644351265441</v>
      </c>
      <c r="D10" s="110">
        <f>[2]Imp.geo.cif!$E$9/1000</f>
        <v>66.323891615268153</v>
      </c>
      <c r="E10" s="110">
        <f>[2]Imp.geo.cif!$E$37/1000</f>
        <v>80.592465659528969</v>
      </c>
      <c r="F10" s="110">
        <f>+[3]Imp.geo.cifmai!$E$7/1000</f>
        <v>92.637283498476449</v>
      </c>
      <c r="G10" s="110">
        <f>+[3]Imp.geo.cifjuin!$E$11/1000</f>
        <v>131.90789999999998</v>
      </c>
      <c r="H10" s="110">
        <f>[4]Imp.geo.cif!$E$8/1000</f>
        <v>1172.6523318058969</v>
      </c>
      <c r="I10" s="110">
        <f>[16]Imp.geo.cif!$E$7/1000</f>
        <v>70.779084166766992</v>
      </c>
      <c r="J10" s="110">
        <f>+[5]Imp.geo.cif!$E$10/1000</f>
        <v>380.23756079099849</v>
      </c>
      <c r="K10" s="110">
        <f>+[6]Imp.geo.cif!$E$9/1000</f>
        <v>35.568460326519414</v>
      </c>
      <c r="L10" s="110">
        <f>+[6]Imp.geo.cif!$E$35/1000</f>
        <v>40.196208762886599</v>
      </c>
      <c r="M10" s="110">
        <f>+[7]Folha1!$B$9/1000</f>
        <v>309.42327809987654</v>
      </c>
      <c r="N10" s="110">
        <f t="shared" si="0"/>
        <v>2774.8734291229216</v>
      </c>
      <c r="O10" s="110">
        <f>+[8]Imp.geo.cif!$E$8/1000</f>
        <v>82.913638596467933</v>
      </c>
      <c r="P10" s="110">
        <f>+[9]Imp.geo.cif!$F$8/1000</f>
        <v>19.802857111322858</v>
      </c>
      <c r="Q10" s="110">
        <f>+[17]Imp.geo.cif!$E$6/1000</f>
        <v>32.934217452738707</v>
      </c>
      <c r="R10" s="110">
        <f>+[18]Imp.geo.cif!$F$7/1000</f>
        <v>16.735248479362891</v>
      </c>
      <c r="S10" s="110">
        <f>+[10]Imp.geo.cif!$E$9/1000</f>
        <v>43.682387103431871</v>
      </c>
      <c r="T10" s="110">
        <f>+[19]Imp.geo.cif!$E$7/1000</f>
        <v>442.10819161387485</v>
      </c>
      <c r="U10" s="110">
        <f>+[11]Imp.geo.cif!$E$10/1000</f>
        <v>42.213448842568766</v>
      </c>
      <c r="V10" s="110">
        <f>+[12]Imp.geo.cif!$B$11/1000</f>
        <v>165.37841455989567</v>
      </c>
      <c r="W10" s="110">
        <f>+[13]Imp.geo.cif!$B$10/1000</f>
        <v>199.95874447616796</v>
      </c>
      <c r="X10" s="110">
        <f>[14]Imp.geo.cif!$E$10/1000</f>
        <v>47.728417225066913</v>
      </c>
      <c r="Y10" s="110">
        <f>+[20]Imp.Geo.Cif!$B$10/1000</f>
        <v>388.44265114815869</v>
      </c>
      <c r="Z10" s="110">
        <f>+[15]Folha1!$B$12/1000</f>
        <v>188.86824970712425</v>
      </c>
      <c r="AA10" s="110">
        <f t="shared" si="1"/>
        <v>1670.7664663161815</v>
      </c>
    </row>
    <row r="11" spans="1:27" ht="15.75" x14ac:dyDescent="0.25">
      <c r="A11" s="105" t="s">
        <v>0</v>
      </c>
      <c r="B11" s="110">
        <f>[1]Imp.geo.cif!$E$14/1000</f>
        <v>606.29063538745652</v>
      </c>
      <c r="C11" s="110">
        <f>[1]Imp.geo.cif!$E$44/1000</f>
        <v>102.71640136089033</v>
      </c>
      <c r="D11" s="110">
        <f>[2]Imp.geo.cif!$E$13/1000</f>
        <v>309.97073524856484</v>
      </c>
      <c r="E11" s="110">
        <f>[2]Imp.geo.cif!$E$40/1000</f>
        <v>123.15247521650068</v>
      </c>
      <c r="F11" s="110">
        <f>+[3]Imp.geo.cifmai!$E$10/1000</f>
        <v>200.74236462060702</v>
      </c>
      <c r="G11" s="110">
        <f>+[3]Imp.geo.cifjuin!$E$14/1000</f>
        <v>61.586100000000002</v>
      </c>
      <c r="H11" s="110">
        <f>[4]Imp.geo.cif!$E$11/1000</f>
        <v>631.22416534957927</v>
      </c>
      <c r="I11" s="110">
        <f>[16]Imp.geo.cif!$E$9/1000</f>
        <v>219.69511351557941</v>
      </c>
      <c r="J11" s="110">
        <f>+[5]Imp.geo.cif!$E$13/1000</f>
        <v>804.98610621009323</v>
      </c>
      <c r="K11" s="110">
        <f>+[6]Imp.geo.cif!$E$13/1000</f>
        <v>317.41210703705286</v>
      </c>
      <c r="L11" s="110">
        <f>+[6]Imp.geo.cif!$E$38/1000</f>
        <v>258.6391235091973</v>
      </c>
      <c r="M11" s="110">
        <f>+[7]Folha1!$B$13/1000</f>
        <v>294.65916516843652</v>
      </c>
      <c r="N11" s="110">
        <f t="shared" si="0"/>
        <v>3931.0744926239577</v>
      </c>
      <c r="O11" s="110">
        <f>+[8]Imp.geo.cif!$E$12/1000</f>
        <v>442.52631921336047</v>
      </c>
      <c r="P11" s="110">
        <f>+[9]Imp.geo.cif!$F$11/1000</f>
        <v>249.36430859635115</v>
      </c>
      <c r="Q11" s="110">
        <f>+[17]Imp.geo.cif!$E$9/1000</f>
        <v>469.25475445061153</v>
      </c>
      <c r="R11" s="110">
        <f>+[18]Imp.geo.cif!$F$10/1000</f>
        <v>385.05163961979599</v>
      </c>
      <c r="S11" s="110">
        <f>+[10]Imp.geo.cif!$E$14/1000</f>
        <v>342.77916139105645</v>
      </c>
      <c r="T11" s="110">
        <f>+[19]Imp.geo.cif!$E$8/1000</f>
        <v>554.88216819539048</v>
      </c>
      <c r="U11" s="110">
        <f>+[11]Imp.geo.cif!$E$15/1000</f>
        <v>303.96867573793713</v>
      </c>
      <c r="V11" s="110">
        <f>+[12]Imp.geo.cif!$B$16/1000</f>
        <v>114.9919324607455</v>
      </c>
      <c r="W11" s="110">
        <f>+[13]Imp.geo.cif!$B$13/1000</f>
        <v>524.7947541326447</v>
      </c>
      <c r="X11" s="110">
        <f>[14]Imp.geo.cif!$E$14/1000</f>
        <v>101.14274377227926</v>
      </c>
      <c r="Y11" s="110">
        <f>+[20]Imp.Geo.Cif!$B$14/1000</f>
        <v>885.04600817580183</v>
      </c>
      <c r="Z11" s="110">
        <f>+[15]Folha1!$B$16/1000</f>
        <v>153.55665358443935</v>
      </c>
      <c r="AA11" s="110">
        <f t="shared" si="1"/>
        <v>4527.3591193304137</v>
      </c>
    </row>
    <row r="12" spans="1:27" ht="15.75" x14ac:dyDescent="0.25">
      <c r="A12" s="105" t="s">
        <v>69</v>
      </c>
      <c r="B12" s="110">
        <f>0</f>
        <v>0</v>
      </c>
      <c r="C12" s="110">
        <f>0</f>
        <v>0</v>
      </c>
      <c r="D12" s="110">
        <f>0</f>
        <v>0</v>
      </c>
      <c r="E12" s="110">
        <f>0</f>
        <v>0</v>
      </c>
      <c r="F12" s="110">
        <f>+[3]Imp.geo.cifmai!$E$29/1000</f>
        <v>0.48654075815689274</v>
      </c>
      <c r="G12" s="110">
        <v>0</v>
      </c>
      <c r="H12" s="110">
        <f>0</f>
        <v>0</v>
      </c>
      <c r="I12" s="110">
        <f>0</f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f t="shared" si="0"/>
        <v>0.48654075815689274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f>[14]Imp.geo.cif!$E$30/1000</f>
        <v>90.932441532499553</v>
      </c>
      <c r="Y12" s="110">
        <v>0</v>
      </c>
      <c r="Z12" s="110">
        <v>0</v>
      </c>
      <c r="AA12" s="110">
        <f t="shared" si="1"/>
        <v>90.932441532499553</v>
      </c>
    </row>
    <row r="13" spans="1:27" ht="15.75" x14ac:dyDescent="0.25">
      <c r="A13" s="105" t="s">
        <v>1</v>
      </c>
      <c r="B13" s="110">
        <f>[1]Imp.geo.cif!$E$17/1000</f>
        <v>42.818534686621987</v>
      </c>
      <c r="C13" s="110">
        <f>0</f>
        <v>0</v>
      </c>
      <c r="D13" s="110">
        <f>[2]Imp.geo.cif!$E$16/1000</f>
        <v>29.027131080368786</v>
      </c>
      <c r="E13" s="110">
        <f>0</f>
        <v>0</v>
      </c>
      <c r="F13" s="110">
        <v>0</v>
      </c>
      <c r="G13" s="110">
        <f>+[3]Imp.geo.cifjuin!$E$17/1000</f>
        <v>115.57850000000001</v>
      </c>
      <c r="H13" s="110">
        <f>[4]Imp.geo.cif!$E$13/1000</f>
        <v>112.13344020079373</v>
      </c>
      <c r="I13" s="110">
        <f>[16]Imp.geo.cif!$E$11/1000</f>
        <v>335.12316212293058</v>
      </c>
      <c r="J13" s="110">
        <f>+[5]Imp.geo.cif!$E$17/1000</f>
        <v>326.65277135665497</v>
      </c>
      <c r="K13" s="110">
        <f>+[6]Imp.geo.cif!$E$16/1000</f>
        <v>425.58005807917493</v>
      </c>
      <c r="L13" s="110">
        <f>+[6]Imp.geo.cif!$E$40/1000</f>
        <v>404.56322063877093</v>
      </c>
      <c r="M13" s="110">
        <f>+[7]Folha1!$B$15/1000</f>
        <v>250.26429502343026</v>
      </c>
      <c r="N13" s="110">
        <f t="shared" si="0"/>
        <v>2041.7411131887461</v>
      </c>
      <c r="O13" s="110">
        <f>+[8]Imp.geo.cif!$E$15/1000</f>
        <v>101.0284173896716</v>
      </c>
      <c r="P13" s="110">
        <f>+[9]Imp.geo.cif!$F$13/1000</f>
        <v>53.209237600850585</v>
      </c>
      <c r="Q13" s="110">
        <f>+[17]Imp.geo.cif!$E$11/1000</f>
        <v>135.61782153224792</v>
      </c>
      <c r="R13" s="110">
        <f>+[18]Imp.geo.cif!$F$12/1000</f>
        <v>150.4196221591194</v>
      </c>
      <c r="S13" s="110">
        <f>+[10]Imp.geo.cif!$E$16/1000</f>
        <v>156.50997617562734</v>
      </c>
      <c r="T13" s="110">
        <f>+[19]Imp.geo.cif!$E$10/1000</f>
        <v>159.868664104348</v>
      </c>
      <c r="U13" s="110">
        <f>+[11]Imp.geo.cif!$E$18/1000</f>
        <v>117.20675030483336</v>
      </c>
      <c r="V13" s="110">
        <f>+[12]Imp.geo.cif!$B$19/1000</f>
        <v>523.66551497870353</v>
      </c>
      <c r="W13" s="110">
        <f>+[13]Imp.geo.cif!$B$16/1000</f>
        <v>171.16352720544108</v>
      </c>
      <c r="X13" s="110">
        <f>[14]Imp.geo.cif!$E$17/1000</f>
        <v>117.14010421244728</v>
      </c>
      <c r="Y13" s="110">
        <f>+[20]Imp.Geo.Cif!$B$16/1000</f>
        <v>1043.2524916494774</v>
      </c>
      <c r="Z13" s="110">
        <f>+[15]Folha1!$B$19/1000</f>
        <v>78.955942408860821</v>
      </c>
      <c r="AA13" s="110">
        <f t="shared" si="1"/>
        <v>2808.0380697216278</v>
      </c>
    </row>
    <row r="14" spans="1:27" ht="15.75" x14ac:dyDescent="0.25">
      <c r="A14" s="105" t="s">
        <v>70</v>
      </c>
      <c r="B14" s="110">
        <f>[1]Imp.geo.cif!$E$18/1000</f>
        <v>1250.0813751910198</v>
      </c>
      <c r="C14" s="110">
        <f>[1]Imp.geo.cif!$E$47/1000</f>
        <v>162.46542421641519</v>
      </c>
      <c r="D14" s="110">
        <f>[2]Imp.geo.cif!$E$17/1000</f>
        <v>264.33579431928484</v>
      </c>
      <c r="E14" s="110">
        <f>[2]Imp.geo.cif!$E$42/1000</f>
        <v>179.96471457499734</v>
      </c>
      <c r="F14" s="110">
        <f>+[3]Imp.geo.cifmai!$E$13/1000</f>
        <v>71.76675944077202</v>
      </c>
      <c r="G14" s="110">
        <f>+[3]Imp.geo.cifjuin!$E$18/1000</f>
        <v>170.45589999999996</v>
      </c>
      <c r="H14" s="110">
        <f>[4]Imp.geo.cif!$E$14/1000</f>
        <v>48.365282934346233</v>
      </c>
      <c r="I14" s="110">
        <f>[16]Imp.geo.cif!$E$12/1000</f>
        <v>67.875639535605558</v>
      </c>
      <c r="J14" s="110">
        <f>+[5]Imp.geo.cif!$E$18/1000</f>
        <v>112.53737214102777</v>
      </c>
      <c r="K14" s="110">
        <f>+[6]Imp.geo.cif!$E$17/1000</f>
        <v>188.11981066990367</v>
      </c>
      <c r="L14" s="110">
        <f>+[6]Imp.geo.cif!$E$41/1000</f>
        <v>1236.0430042449964</v>
      </c>
      <c r="M14" s="110">
        <f>+[7]Folha1!$B$16/1000</f>
        <v>83.095990142439049</v>
      </c>
      <c r="N14" s="110">
        <f t="shared" si="0"/>
        <v>3835.1070674108078</v>
      </c>
      <c r="O14" s="110">
        <f>+[8]Imp.geo.cif!$E$16/1000</f>
        <v>45.161726572790606</v>
      </c>
      <c r="P14" s="110">
        <f>+[9]Imp.geo.cif!$F$14/1000</f>
        <v>142.66360301015771</v>
      </c>
      <c r="Q14" s="110">
        <f>+[17]Imp.geo.cif!$E$12/1000</f>
        <v>108.24681984835753</v>
      </c>
      <c r="R14" s="110">
        <f>+[18]Imp.geo.cif!$F$13/1000</f>
        <v>117.50357240177171</v>
      </c>
      <c r="S14" s="110">
        <f>+[10]Imp.geo.cif!$E$17/1000</f>
        <v>35.760637694105824</v>
      </c>
      <c r="T14" s="110">
        <f>+[19]Imp.geo.cif!$E$11/1000</f>
        <v>52.90071142237732</v>
      </c>
      <c r="U14" s="110">
        <f>+[11]Imp.geo.cif!$E$19/1000</f>
        <v>76.482794746129613</v>
      </c>
      <c r="V14" s="110">
        <f>+[12]Imp.geo.cif!$B$20/1000</f>
        <v>73.151545010471324</v>
      </c>
      <c r="W14" s="110">
        <f>+[13]Imp.geo.cif!$B$17/1000</f>
        <v>71.641649102547802</v>
      </c>
      <c r="X14" s="110">
        <f>[14]Imp.geo.cif!$E$18/1000</f>
        <v>73.87543793411416</v>
      </c>
      <c r="Y14" s="110">
        <f>+[20]Imp.Geo.Cif!$B$17/1000</f>
        <v>1169.8289068375373</v>
      </c>
      <c r="Z14" s="110">
        <f>+[15]Folha1!$B$20/1000</f>
        <v>114.29252491094903</v>
      </c>
      <c r="AA14" s="110">
        <f t="shared" si="1"/>
        <v>2081.5099294913098</v>
      </c>
    </row>
    <row r="15" spans="1:27" ht="15.75" x14ac:dyDescent="0.25">
      <c r="A15" s="105" t="s">
        <v>71</v>
      </c>
      <c r="B15" s="110">
        <f>[1]Imp.geo.cif!$E$19/1000</f>
        <v>110.18084626715181</v>
      </c>
      <c r="C15" s="110">
        <f>0</f>
        <v>0</v>
      </c>
      <c r="D15" s="110">
        <f>[2]Imp.geo.cif!$E$18/1000</f>
        <v>84.592879472875524</v>
      </c>
      <c r="E15" s="110">
        <f>[2]Imp.geo.cif!$E$43/1000</f>
        <v>186.84643434869628</v>
      </c>
      <c r="F15" s="110">
        <f>+[3]Imp.geo.cifmai!$E$14/1000</f>
        <v>65.83820648854558</v>
      </c>
      <c r="G15" s="110">
        <f>+[3]Imp.geo.cifjuin!$E$19/1000</f>
        <v>43.0242</v>
      </c>
      <c r="H15" s="110">
        <f>[4]Imp.geo.cif!$E$15/1000</f>
        <v>61.721695723087386</v>
      </c>
      <c r="I15" s="110">
        <f>[16]Imp.geo.cif!$E$14/1000</f>
        <v>215.37917852691319</v>
      </c>
      <c r="J15" s="110">
        <f>+[5]Imp.geo.cif!$E$19/1000</f>
        <v>26.734987414599065</v>
      </c>
      <c r="K15" s="110">
        <v>0</v>
      </c>
      <c r="L15" s="110">
        <f>+[6]Imp.geo.cif!$E$43/1000</f>
        <v>79.003461693955941</v>
      </c>
      <c r="M15" s="110">
        <f>+[7]Folha1!$B$17/1000</f>
        <v>183.4780785464676</v>
      </c>
      <c r="N15" s="110">
        <f t="shared" si="0"/>
        <v>1056.7999684822923</v>
      </c>
      <c r="O15" s="110">
        <f>+[8]Imp.geo.cif!$E$18/1000</f>
        <v>42.075355022375298</v>
      </c>
      <c r="P15" s="110">
        <f>+[9]Imp.geo.cif!$F$15/1000</f>
        <v>40.833759836725989</v>
      </c>
      <c r="Q15" s="110">
        <f>+[17]Imp.geo.cif!$E$13/1000</f>
        <v>84.173058985417583</v>
      </c>
      <c r="R15" s="110">
        <f>+[18]Imp.geo.cif!$F$14/1000</f>
        <v>111.54508305898428</v>
      </c>
      <c r="S15" s="110">
        <f>+[10]Imp.geo.cif!$E$18/1000</f>
        <v>44.519261623915902</v>
      </c>
      <c r="T15" s="110">
        <f>+[19]Imp.geo.cif!$E$12/1000</f>
        <v>129.68980128188545</v>
      </c>
      <c r="U15" s="110">
        <f>+[11]Imp.geo.cif!$E$20/1000</f>
        <v>67.492565496293665</v>
      </c>
      <c r="V15" s="110">
        <v>0</v>
      </c>
      <c r="W15" s="110">
        <f>+[13]Imp.geo.cif!$B$18/1000</f>
        <v>26.59295245412719</v>
      </c>
      <c r="X15" s="110">
        <f>[14]Imp.geo.cif!$E$19/1000</f>
        <v>50.186422414283875</v>
      </c>
      <c r="Y15" s="110">
        <f>+[20]Imp.Geo.Cif!$C$18/1000</f>
        <v>123.9972645666835</v>
      </c>
      <c r="Z15" s="110">
        <f>+[15]Folha1!$B$21/1000</f>
        <v>63.710982601723209</v>
      </c>
      <c r="AA15" s="110">
        <f t="shared" si="1"/>
        <v>784.81650734241589</v>
      </c>
    </row>
    <row r="16" spans="1:27" ht="15.75" x14ac:dyDescent="0.25">
      <c r="A16" s="105" t="s">
        <v>72</v>
      </c>
      <c r="B16" s="110">
        <f>[1]Imp.geo.cif!$E$20/1000</f>
        <v>51.25633905653536</v>
      </c>
      <c r="C16" s="110">
        <f>[1]Imp.geo.cif!$E$48/1000</f>
        <v>165.0740059881829</v>
      </c>
      <c r="D16" s="110">
        <f>[2]Imp.geo.cif!$E$19/1000</f>
        <v>245.57332863553381</v>
      </c>
      <c r="E16" s="110">
        <f>[2]Imp.geo.cif!$E$44/1000</f>
        <v>457.15462631848976</v>
      </c>
      <c r="F16" s="110">
        <f>+[3]Imp.geo.cifmai!$E$15/1000</f>
        <v>271.87220267699422</v>
      </c>
      <c r="G16" s="110">
        <f>+[3]Imp.geo.cifjuin!$E$20/1000</f>
        <v>112.85800000000002</v>
      </c>
      <c r="H16" s="110">
        <f>[4]Imp.geo.cif!$E$16/1000</f>
        <v>317.9287198797083</v>
      </c>
      <c r="I16" s="110">
        <f>[16]Imp.geo.cif!$E$15/1000</f>
        <v>134.91856568259684</v>
      </c>
      <c r="J16" s="110">
        <f>+[5]Imp.geo.cif!$E$20/1000</f>
        <v>451.77582449839252</v>
      </c>
      <c r="K16" s="110">
        <f>+[6]Imp.geo.cif!$E$18/1000</f>
        <v>190.06715156733119</v>
      </c>
      <c r="L16" s="110">
        <f>+[6]Imp.geo.cif!$E$44/1000</f>
        <v>930.13280392156889</v>
      </c>
      <c r="M16" s="110">
        <f>+[7]Folha1!$B$18/1000</f>
        <v>112.92692825491051</v>
      </c>
      <c r="N16" s="110">
        <f t="shared" si="0"/>
        <v>3441.5384964802447</v>
      </c>
      <c r="O16" s="110">
        <f>+[8]Imp.geo.cif!$E$19/1000</f>
        <v>82.502666212111578</v>
      </c>
      <c r="P16" s="110">
        <f>+[9]Imp.geo.cif!$F$16/1000</f>
        <v>384.2772139301652</v>
      </c>
      <c r="Q16" s="110">
        <f>+[17]Imp.geo.cif!$E$14/1000</f>
        <v>168.30166348490985</v>
      </c>
      <c r="R16" s="110">
        <f>+[18]Imp.geo.cif!$F$15/1000</f>
        <v>378.00699748126425</v>
      </c>
      <c r="S16" s="110">
        <f>+[10]Imp.geo.cif!$E$19/1000</f>
        <v>413.57277789493043</v>
      </c>
      <c r="T16" s="110">
        <f>+[19]Imp.geo.cif!$E$13/1000</f>
        <v>107.78849153132352</v>
      </c>
      <c r="U16" s="110">
        <f>+[11]Imp.geo.cif!$F$22/1000</f>
        <v>115.11241715370953</v>
      </c>
      <c r="V16" s="110">
        <f>+[12]Imp.geo.cif!$B$21/1000</f>
        <v>60.961975188797055</v>
      </c>
      <c r="W16" s="110">
        <f>+[13]Imp.geo.cif!$B$19/1000</f>
        <v>217.27954668206371</v>
      </c>
      <c r="X16" s="110">
        <f>[14]Imp.geo.cif!$E$20/1000</f>
        <v>156.86798653007892</v>
      </c>
      <c r="Y16" s="110">
        <f>+[20]Imp.Geo.Cif!$B$20/1000</f>
        <v>227.5196253179648</v>
      </c>
      <c r="Z16" s="110">
        <f>+[15]Folha1!$B$22/1000</f>
        <v>122.68629411511013</v>
      </c>
      <c r="AA16" s="110">
        <f t="shared" si="1"/>
        <v>2434.877655522429</v>
      </c>
    </row>
    <row r="17" spans="1:27" ht="15.75" x14ac:dyDescent="0.25">
      <c r="A17" s="105" t="s">
        <v>73</v>
      </c>
      <c r="B17" s="110">
        <f>[1]Imp.geo.cif!$E$22/1000</f>
        <v>144.71221519430941</v>
      </c>
      <c r="C17" s="110">
        <f>0</f>
        <v>0</v>
      </c>
      <c r="D17" s="110">
        <f>[2]Imp.geo.cif!$E$21/1000</f>
        <v>66.229629073627919</v>
      </c>
      <c r="E17" s="110">
        <f>0</f>
        <v>0</v>
      </c>
      <c r="F17" s="110">
        <f>+[3]Imp.geo.cifmai!$E$18/1000</f>
        <v>393.39777097174516</v>
      </c>
      <c r="G17" s="110">
        <v>0</v>
      </c>
      <c r="H17" s="110">
        <f>[4]Imp.geo.cif!$E$20/1000</f>
        <v>224.13249749803879</v>
      </c>
      <c r="I17" s="110">
        <f>[16]Imp.geo.cif!$E$17/1000</f>
        <v>46.97480600298951</v>
      </c>
      <c r="J17" s="110">
        <v>0</v>
      </c>
      <c r="K17" s="110">
        <f>+[6]Imp.geo.cif!$E$21/1000</f>
        <v>67.660875153404334</v>
      </c>
      <c r="L17" s="110">
        <v>0</v>
      </c>
      <c r="M17" s="110">
        <f>+[7]Folha1!$B$20/1000</f>
        <v>131.03332636799146</v>
      </c>
      <c r="N17" s="110">
        <f t="shared" si="0"/>
        <v>1074.1411202621066</v>
      </c>
      <c r="O17" s="110">
        <v>0</v>
      </c>
      <c r="P17" s="110">
        <f>+[9]Imp.geo.cif!$F$19/1000</f>
        <v>24.671967492356877</v>
      </c>
      <c r="Q17" s="110">
        <f>+[17]Imp.geo.cif!$E$17/1000</f>
        <v>15.367577568240659</v>
      </c>
      <c r="R17" s="110">
        <f>+[18]Imp.geo.cif!$F$17/1000</f>
        <v>71.454887206243768</v>
      </c>
      <c r="S17" s="110">
        <v>0</v>
      </c>
      <c r="T17" s="110">
        <v>0</v>
      </c>
      <c r="U17" s="110">
        <f>+[11]Imp.geo.cif!$E$26/1000</f>
        <v>34.822710742652923</v>
      </c>
      <c r="V17" s="110">
        <f>+[12]Imp.geo.cif!$B$22/1000</f>
        <v>40.594049709835929</v>
      </c>
      <c r="W17" s="110">
        <f>+[13]Imp.geo.cif!$B$22/1000</f>
        <v>96.299626561675979</v>
      </c>
      <c r="X17" s="110">
        <f>[14]Imp.geo.cif!$E$24/1000</f>
        <v>70.646066073478835</v>
      </c>
      <c r="Y17" s="110">
        <f>+[20]Imp.Geo.Cif!$B$23/1000</f>
        <v>192.14066175003245</v>
      </c>
      <c r="Z17" s="110">
        <f>+[15]Folha1!$B$25/1000</f>
        <v>114.71405130674111</v>
      </c>
      <c r="AA17" s="110">
        <f t="shared" si="1"/>
        <v>660.71159841125871</v>
      </c>
    </row>
    <row r="18" spans="1:27" ht="15.75" x14ac:dyDescent="0.25">
      <c r="A18" s="105" t="s">
        <v>74</v>
      </c>
      <c r="B18" s="110">
        <f>[1]Imp.geo.cif!$E$23/1000</f>
        <v>3.3545881551738121</v>
      </c>
      <c r="C18" s="110">
        <f>[1]Imp.geo.cif!$E$51/1000</f>
        <v>1.3833709023419616</v>
      </c>
      <c r="D18" s="110">
        <f>0</f>
        <v>0</v>
      </c>
      <c r="E18" s="110">
        <f>[2]Imp.geo.cif!$E$49/1000</f>
        <v>6.9544594631645325</v>
      </c>
      <c r="F18" s="110">
        <f>+[3]Imp.geo.cifmai!$E$19/1000</f>
        <v>87.67445252792271</v>
      </c>
      <c r="G18" s="110">
        <v>0</v>
      </c>
      <c r="H18" s="110">
        <f>0</f>
        <v>0</v>
      </c>
      <c r="I18" s="110">
        <v>0</v>
      </c>
      <c r="J18" s="110">
        <f>+[5]Imp.geo.cif!$E$21/1000</f>
        <v>2.4516342675149887</v>
      </c>
      <c r="K18" s="110">
        <f>+[6]Imp.geo.cif!$E$22/1000</f>
        <v>131.96240021719331</v>
      </c>
      <c r="L18" s="110">
        <v>0</v>
      </c>
      <c r="M18" s="110">
        <f>+[7]Folha1!$B$21/1000</f>
        <v>4.1070905521489012</v>
      </c>
      <c r="N18" s="110">
        <f t="shared" si="0"/>
        <v>237.8879960854602</v>
      </c>
      <c r="O18" s="110">
        <f>+[8]Imp.geo.cif!$E$22/1000</f>
        <v>36.629964030721347</v>
      </c>
      <c r="P18" s="110">
        <v>0</v>
      </c>
      <c r="Q18" s="110">
        <v>0</v>
      </c>
      <c r="R18" s="110">
        <f>+[18]Imp.geo.cif!$F$18/1000</f>
        <v>3.1458037130097471</v>
      </c>
      <c r="S18" s="110">
        <f>+[10]Imp.geo.cif!$E$21/1000</f>
        <v>6.0194453542473338</v>
      </c>
      <c r="T18" s="110">
        <f>+[19]Imp.geo.cif!$E$17/1000</f>
        <v>57.408645352132751</v>
      </c>
      <c r="U18" s="110">
        <f>+[11]Imp.geo.cif!$E$27/1000</f>
        <v>31.910907577019152</v>
      </c>
      <c r="V18" s="110">
        <f>+[12]Imp.geo.cif!$B$23/1000</f>
        <v>11.711636802998941</v>
      </c>
      <c r="W18" s="110">
        <f>+[13]Imp.geo.cif!$B$23/1000</f>
        <v>0.30498576988124898</v>
      </c>
      <c r="X18" s="110">
        <v>0</v>
      </c>
      <c r="Y18" s="110">
        <f>+[20]Imp.Geo.Cif!$B$24/1000</f>
        <v>33.569532423032719</v>
      </c>
      <c r="Z18" s="110">
        <v>0</v>
      </c>
      <c r="AA18" s="110">
        <f t="shared" si="1"/>
        <v>180.70092102304321</v>
      </c>
    </row>
    <row r="19" spans="1:27" ht="15.75" x14ac:dyDescent="0.25">
      <c r="A19" s="105" t="s">
        <v>75</v>
      </c>
      <c r="B19" s="110">
        <f>[1]Imp.geo.cif!$E$24/1000</f>
        <v>627.26154518176543</v>
      </c>
      <c r="C19" s="110">
        <f>[1]Imp.geo.cif!$E$52/1000</f>
        <v>0.55031876511147937</v>
      </c>
      <c r="D19" s="110">
        <f>[2]Imp.geo.cif!$E$22/1000</f>
        <v>59.171099794816691</v>
      </c>
      <c r="E19" s="110">
        <f>[2]Imp.geo.cif!$E$50/1000</f>
        <v>9.9403394291667784</v>
      </c>
      <c r="F19" s="110">
        <f>+[3]Imp.geo.cifmai!$E$20/1000</f>
        <v>5.478306281488031</v>
      </c>
      <c r="G19" s="110">
        <f>+[3]Imp.geo.cifjuin!$F$23/1000</f>
        <v>29.762600000000003</v>
      </c>
      <c r="H19" s="110">
        <f>[4]Imp.geo.cif!$E$21/1000</f>
        <v>0.11010111601469282</v>
      </c>
      <c r="I19" s="110">
        <f>[16]Imp.geo.cif!$E$20/1000</f>
        <v>3.0281185677339044</v>
      </c>
      <c r="J19" s="110">
        <f>+[5]Imp.geo.cif!$E$22/1000</f>
        <v>50.538192839163713</v>
      </c>
      <c r="K19" s="110">
        <f>+[6]Imp.geo.cif!$E$23/1000</f>
        <v>33.590151146609074</v>
      </c>
      <c r="L19" s="110">
        <f>+[6]Imp.geo.cif!$E$47/1000</f>
        <v>11.677986658580959</v>
      </c>
      <c r="M19" s="110">
        <v>0</v>
      </c>
      <c r="N19" s="110">
        <f t="shared" si="0"/>
        <v>831.10875978045078</v>
      </c>
      <c r="O19" s="110">
        <v>0</v>
      </c>
      <c r="P19" s="110">
        <f>+[9]Imp.geo.cif!$F$20/1000</f>
        <v>698.66474041896458</v>
      </c>
      <c r="Q19" s="110">
        <f>+[17]Imp.geo.cif!$E$18/1000</f>
        <v>152.93906287037123</v>
      </c>
      <c r="R19" s="110">
        <f>+[18]Imp.geo.cif!$F$19/1000</f>
        <v>60.790290724974724</v>
      </c>
      <c r="S19" s="110">
        <f>+[10]Imp.geo.cif!$E$22/1000</f>
        <v>699.43886867880178</v>
      </c>
      <c r="T19" s="110">
        <v>0</v>
      </c>
      <c r="U19" s="110">
        <f>+[11]Imp.geo.cif!$E$28/1000</f>
        <v>9.401965278622372</v>
      </c>
      <c r="V19" s="110">
        <f>+[12]Imp.geo.cif!$B$24/1000</f>
        <v>18.374031115179164</v>
      </c>
      <c r="W19" s="110">
        <f>+[13]Imp.geo.cif!$B$24/1000</f>
        <v>673.05161655058293</v>
      </c>
      <c r="X19" s="110">
        <f>[14]Imp.geo.cif!$E$25/1000</f>
        <v>24.608155824069424</v>
      </c>
      <c r="Y19" s="110">
        <f>+[20]Imp.Geo.Cif!$B$25/1000</f>
        <v>705.77948978373604</v>
      </c>
      <c r="Z19" s="110">
        <f>+[15]Folha1!$B$26/1000</f>
        <v>69.744804149463064</v>
      </c>
      <c r="AA19" s="110">
        <f t="shared" si="1"/>
        <v>3112.7930253947652</v>
      </c>
    </row>
    <row r="20" spans="1:27" ht="15.75" x14ac:dyDescent="0.25">
      <c r="A20" s="105" t="s">
        <v>76</v>
      </c>
      <c r="B20" s="110">
        <f>[1]Imp.geo.cif!$E$26/1000</f>
        <v>4.7930035138337548</v>
      </c>
      <c r="C20" s="110">
        <f>[1]Imp.geo.cif!$E$54/1000</f>
        <v>0.81155816633743105</v>
      </c>
      <c r="D20" s="110">
        <f>[2]Imp.geo.cif!$E$24/1000</f>
        <v>44.630655270208415</v>
      </c>
      <c r="E20" s="110">
        <f>[2]Imp.geo.cif!$E$51/1000</f>
        <v>135.43727151815412</v>
      </c>
      <c r="F20" s="110">
        <f>+[3]Imp.geo.cifmai!$E$23/1000</f>
        <v>143.72144251021234</v>
      </c>
      <c r="G20" s="110">
        <f>+[3]Imp.geo.cifjuin!$E$25/1000</f>
        <v>10.3224</v>
      </c>
      <c r="H20" s="110">
        <f>[4]Imp.geo.cif!$F$24/1000</f>
        <v>10.111061111535044</v>
      </c>
      <c r="I20" s="110">
        <v>0</v>
      </c>
      <c r="J20" s="110">
        <f>+[5]Imp.geo.cif!$E$23/1000</f>
        <v>7.0505737076769384</v>
      </c>
      <c r="K20" s="110">
        <v>0</v>
      </c>
      <c r="L20" s="110">
        <v>0</v>
      </c>
      <c r="M20" s="110">
        <f>+[7]Folha1!$B$22/1000</f>
        <v>255.2638721497745</v>
      </c>
      <c r="N20" s="110">
        <f t="shared" si="0"/>
        <v>612.14183794773271</v>
      </c>
      <c r="O20" s="110">
        <f>+[8]Imp.geo.cif!$E$24/1000</f>
        <v>27.378719615063286</v>
      </c>
      <c r="P20" s="110">
        <v>0</v>
      </c>
      <c r="Q20" s="110">
        <v>0</v>
      </c>
      <c r="R20" s="110">
        <f>+[18]Imp.geo.cif!$F$21/1000</f>
        <v>5.1497619256273186</v>
      </c>
      <c r="S20" s="110">
        <v>0</v>
      </c>
      <c r="T20" s="110">
        <f>+[19]Imp.geo.cif!$E$21/1000</f>
        <v>0.28591228483398706</v>
      </c>
      <c r="U20" s="110">
        <f>+[11]Imp.geo.cif!$E$32/1000</f>
        <v>169.62119693371264</v>
      </c>
      <c r="V20" s="110">
        <f>+[12]Imp.geo.cif!$B$28/1000</f>
        <v>22.740660421277585</v>
      </c>
      <c r="W20" s="110">
        <v>0</v>
      </c>
      <c r="X20" s="110">
        <f>[14]Imp.geo.cif!$E$26/1000</f>
        <v>4.0682568302601398E-2</v>
      </c>
      <c r="Y20" s="110">
        <f>+[20]Imp.Geo.Cif!$B$26/1000</f>
        <v>143.43977889960468</v>
      </c>
      <c r="Z20" s="110">
        <f>+[15]Folha1!$B$29/1000</f>
        <v>81.563027671595307</v>
      </c>
      <c r="AA20" s="110">
        <f t="shared" si="1"/>
        <v>450.21974032001748</v>
      </c>
    </row>
    <row r="21" spans="1:27" ht="15.75" x14ac:dyDescent="0.25">
      <c r="A21" s="105" t="s">
        <v>77</v>
      </c>
      <c r="B21" s="110">
        <f>[1]Imp.geo.cif!$E$32/1000</f>
        <v>14.393404952921692</v>
      </c>
      <c r="C21" s="110">
        <f>[1]Imp.geo.cif!$E$61/1000</f>
        <v>0.7224380443174202</v>
      </c>
      <c r="D21" s="110">
        <f>0</f>
        <v>0</v>
      </c>
      <c r="E21" s="110">
        <f>0</f>
        <v>0</v>
      </c>
      <c r="F21" s="110">
        <f>+[3]Imp.geo.cifmai!$E$33/1000</f>
        <v>366.98943215900505</v>
      </c>
      <c r="G21" s="110">
        <f>+[3]Imp.geo.cifjuin!$E$29/1000</f>
        <v>44.740200000000009</v>
      </c>
      <c r="H21" s="110">
        <f>[4]Imp.geo.cif!$E$31/1000</f>
        <v>12.200027339038666</v>
      </c>
      <c r="I21" s="110">
        <v>0</v>
      </c>
      <c r="J21" s="110">
        <v>0</v>
      </c>
      <c r="K21" s="110">
        <v>0</v>
      </c>
      <c r="L21" s="110">
        <f>+[6]Imp.geo.cif!$E$55/1000</f>
        <v>3.0321406913280775</v>
      </c>
      <c r="M21" s="110">
        <f>+[7]Folha1!$B$26/1000</f>
        <v>1.1372073951341646</v>
      </c>
      <c r="N21" s="110">
        <f t="shared" si="0"/>
        <v>443.21485058174505</v>
      </c>
      <c r="O21" s="110">
        <f>+[8]Imp.geo.cif!$E$30/1000</f>
        <v>3.1057049191520996</v>
      </c>
      <c r="P21" s="110">
        <v>0</v>
      </c>
      <c r="Q21" s="110">
        <f>+[17]Imp.geo.cif!$E$25/1000</f>
        <v>158.15011203214212</v>
      </c>
      <c r="R21" s="110">
        <f>+[18]Imp.geo.cif!$F$27/1000</f>
        <v>44.455310817745463</v>
      </c>
      <c r="S21" s="110">
        <v>0</v>
      </c>
      <c r="T21" s="110">
        <f>+[19]Imp.geo.cif!$E$26/1000</f>
        <v>1.7808250883945484</v>
      </c>
      <c r="U21" s="110">
        <f>+[11]Imp.geo.cif!$E$40/1000</f>
        <v>108.82911097360008</v>
      </c>
      <c r="V21" s="110">
        <f>+[12]Imp.geo.cif!$B$37/1000</f>
        <v>1.5007321139096235</v>
      </c>
      <c r="W21" s="110">
        <v>0</v>
      </c>
      <c r="X21" s="110">
        <f>[14]Imp.geo.cif!$E$32/1000</f>
        <v>3.7145427418139123</v>
      </c>
      <c r="Y21" s="110">
        <v>0</v>
      </c>
      <c r="Z21" s="110">
        <f>+[15]Folha1!$B$36/1000</f>
        <v>142.45049095759617</v>
      </c>
      <c r="AA21" s="110">
        <f t="shared" si="1"/>
        <v>463.98682964435397</v>
      </c>
    </row>
    <row r="22" spans="1:27" ht="15.75" x14ac:dyDescent="0.25">
      <c r="A22" s="105" t="s">
        <v>14</v>
      </c>
      <c r="B22" s="110">
        <f>[1]Imp.geo.cif!$E$27/1000</f>
        <v>44.75353218383637</v>
      </c>
      <c r="C22" s="110">
        <f>[1]Imp.geo.cif!$E$56/1000</f>
        <v>9.4844234244796564</v>
      </c>
      <c r="D22" s="110">
        <f>[2]Imp.geo.cif!$E$25/1000</f>
        <v>42.870090346750253</v>
      </c>
      <c r="E22" s="110">
        <f>[2]Imp.geo.cif!$E$52/1000</f>
        <v>160.80606604717943</v>
      </c>
      <c r="F22" s="110">
        <f>+[3]Imp.geo.cifmai!$E$24/1000</f>
        <v>45.600263679633706</v>
      </c>
      <c r="G22" s="110">
        <f>+[3]Imp.geo.cifjuin!$E$26/1000</f>
        <v>31.256700000000002</v>
      </c>
      <c r="H22" s="110">
        <f>[4]Imp.geo.cif!$E$25/1000</f>
        <v>96.452128410037275</v>
      </c>
      <c r="I22" s="110">
        <f>+[16]Imp.geo.cif!$E$22/1000</f>
        <v>119.16159601441744</v>
      </c>
      <c r="J22" s="110">
        <f>+[5]Imp.geo.cif!$E$24/1000</f>
        <v>155.61977962706121</v>
      </c>
      <c r="K22" s="110">
        <f>+[6]Imp.geo.cif!$E$25/1000</f>
        <v>326.1017790535858</v>
      </c>
      <c r="L22" s="110">
        <f>+[6]Imp.geo.cif!$E$50/1000</f>
        <v>343.0686383666868</v>
      </c>
      <c r="M22" s="110">
        <f>+[7]Folha1!$B$23/1000</f>
        <v>345.63156374334335</v>
      </c>
      <c r="N22" s="110">
        <f t="shared" si="0"/>
        <v>1720.806560897011</v>
      </c>
      <c r="O22" s="110">
        <f>+[8]Imp.geo.cif!$E$25/1000</f>
        <v>184.23442671532112</v>
      </c>
      <c r="P22" s="110">
        <f>+[9]Imp.geo.cif!$F$22/1000</f>
        <v>87.467464304503466</v>
      </c>
      <c r="Q22" s="110">
        <f>+[17]Imp.geo.cif!$E$20/1000</f>
        <v>33.245598643036793</v>
      </c>
      <c r="R22" s="110">
        <f>+[18]Imp.geo.cif!$F$22/1000</f>
        <v>174.59948918975363</v>
      </c>
      <c r="S22" s="110">
        <f>+[10]Imp.geo.cif!$E$24/1000</f>
        <v>52.411781174707585</v>
      </c>
      <c r="T22" s="110">
        <f>+[19]Imp.geo.cif!$E$22/1000</f>
        <v>122.27937764610685</v>
      </c>
      <c r="U22" s="110">
        <f>+[11]Imp.geo.cif!$E$33/1000</f>
        <v>175.51152339164489</v>
      </c>
      <c r="V22" s="110">
        <f>+[12]Imp.geo.cif!$B$29/1000</f>
        <v>92.086827673139652</v>
      </c>
      <c r="W22" s="110">
        <f>+[13]Imp.geo.cif!$B$26/1000</f>
        <v>208.98670643219555</v>
      </c>
      <c r="X22" s="110">
        <f>[14]Imp.geo.cif!$E$27/1000</f>
        <v>78.755820790296696</v>
      </c>
      <c r="Y22" s="110">
        <f>+[20]Imp.Geo.Cif!$B$27/1000</f>
        <v>64.372469898469149</v>
      </c>
      <c r="Z22" s="110">
        <f>+[15]Folha1!$B$30/1000</f>
        <v>78.393090858841347</v>
      </c>
      <c r="AA22" s="110">
        <f t="shared" si="1"/>
        <v>1352.3445767180167</v>
      </c>
    </row>
    <row r="23" spans="1:27" ht="15.75" x14ac:dyDescent="0.25">
      <c r="A23" s="105" t="s">
        <v>2</v>
      </c>
      <c r="B23" s="110">
        <f>[1]Imp.geo.cif!$E$29/1000</f>
        <v>7383.8346059919986</v>
      </c>
      <c r="C23" s="110">
        <f>[1]Imp.geo.cif!$E$58/1000</f>
        <v>6495.7864003322593</v>
      </c>
      <c r="D23" s="110">
        <f>[2]Imp.geo.cif!$E$28/1000</f>
        <v>9518.2076056727492</v>
      </c>
      <c r="E23" s="110">
        <f>[2]Imp.geo.cif!$E$54/1000</f>
        <v>6858.3969159182479</v>
      </c>
      <c r="F23" s="110">
        <f>+[3]Imp.geo.cifmai!$E$27/1000</f>
        <v>9914.8361064055189</v>
      </c>
      <c r="G23" s="110">
        <f>+[3]Imp.geo.cifjuin!$E$28/1000</f>
        <v>7718.9278000000077</v>
      </c>
      <c r="H23" s="110">
        <f>[4]Imp.geo.cif!$E$28/1000</f>
        <v>8642.7755206906695</v>
      </c>
      <c r="I23" s="110">
        <f>+[16]Imp.geo.cif!$E$24/1000</f>
        <v>6821.4372522287786</v>
      </c>
      <c r="J23" s="110">
        <f>+[5]Imp.geo.cif!$E$26/1000</f>
        <v>10622.458407372795</v>
      </c>
      <c r="K23" s="110">
        <f>+[6]Imp.geo.cif!$E$28/1000</f>
        <v>9114.6364531988911</v>
      </c>
      <c r="L23" s="110">
        <f>+[6]Imp.geo.cif!$E$52/1000</f>
        <v>8572.3993139781942</v>
      </c>
      <c r="M23" s="110">
        <f>+[7]Folha1!$B$24/1000</f>
        <v>10587.81791443667</v>
      </c>
      <c r="N23" s="110">
        <f t="shared" si="0"/>
        <v>102251.51429622679</v>
      </c>
      <c r="O23" s="110">
        <f>+[8]Imp.geo.cif!$E$27/1000</f>
        <v>5098.1553288680725</v>
      </c>
      <c r="P23" s="110">
        <f>+[9]Imp.geo.cif!$F$24/1000</f>
        <v>5482.092311074156</v>
      </c>
      <c r="Q23" s="110">
        <f>+[17]Imp.geo.cif!$E$22/1000</f>
        <v>5109.7219437433732</v>
      </c>
      <c r="R23" s="110">
        <f>+[18]Imp.geo.cif!$F$24/1000</f>
        <v>6610.5689908188442</v>
      </c>
      <c r="S23" s="110">
        <f>+[10]Imp.geo.cif!$E$26/1000</f>
        <v>5448.671093902577</v>
      </c>
      <c r="T23" s="110">
        <f>+[19]Imp.geo.cif!$E$23/1000</f>
        <v>6196.9947157918468</v>
      </c>
      <c r="U23" s="110">
        <f>+[11]Imp.geo.cif!$E$35/1000</f>
        <v>7488.3286273829244</v>
      </c>
      <c r="V23" s="110">
        <f>+[12]Imp.geo.cif!$B$31/1000</f>
        <v>6719.8035856681799</v>
      </c>
      <c r="W23" s="110">
        <f>+[13]Imp.geo.cif!$B$28/1000</f>
        <v>7536.7190721326051</v>
      </c>
      <c r="X23" s="110">
        <f>[14]Imp.geo.cif!$E$28/1000</f>
        <v>10595.562927339122</v>
      </c>
      <c r="Y23" s="110">
        <f>+[20]Imp.Geo.Cif!$B$28/1000</f>
        <v>8269.4589086370743</v>
      </c>
      <c r="Z23" s="110">
        <f>+[15]Folha1!$B$32/1000</f>
        <v>7303.2443239739359</v>
      </c>
      <c r="AA23" s="110">
        <f t="shared" si="1"/>
        <v>81859.321829332708</v>
      </c>
    </row>
    <row r="24" spans="1:27" ht="15.75" x14ac:dyDescent="0.25">
      <c r="A24" s="105" t="s">
        <v>78</v>
      </c>
      <c r="B24" s="110">
        <f>[1]Imp.geo.cif!$E$6/1000</f>
        <v>32.744453446255783</v>
      </c>
      <c r="C24" s="110">
        <f>[1]Imp.geo.cif!$E$37/1000</f>
        <v>23.753020360264305</v>
      </c>
      <c r="D24" s="110">
        <f>[2]Imp.geo.cif!$E$6/1000</f>
        <v>19.933672523418508</v>
      </c>
      <c r="E24" s="110">
        <f>0</f>
        <v>0</v>
      </c>
      <c r="F24" s="110">
        <v>0</v>
      </c>
      <c r="G24" s="110">
        <v>0</v>
      </c>
      <c r="H24" s="110">
        <f>0</f>
        <v>0</v>
      </c>
      <c r="I24" s="110">
        <f>+[16]Imp.geo.cif!$E$5/1000</f>
        <v>71.733981042679616</v>
      </c>
      <c r="J24" s="110">
        <f>+[5]Imp.geo.cif!$E$6/1000</f>
        <v>12.056300405814969</v>
      </c>
      <c r="K24" s="110">
        <f>+[6]Imp.geo.cif!$E$6/1000</f>
        <v>37.788578652692593</v>
      </c>
      <c r="L24" s="110">
        <f>+[6]Imp.geo.cif!$E$33/1000</f>
        <v>14.857489387507579</v>
      </c>
      <c r="M24" s="110">
        <f>+[7]Folha1!$B$7/1000</f>
        <v>83.643206431621749</v>
      </c>
      <c r="N24" s="110">
        <f t="shared" si="0"/>
        <v>296.51070225025512</v>
      </c>
      <c r="O24" s="110">
        <f>+[8]Imp.geo.cif!$E$6/1000</f>
        <v>29.785369711648336</v>
      </c>
      <c r="P24" s="110">
        <f>+[9]Imp.geo.cif!$F$6/1000</f>
        <v>140.98092047657767</v>
      </c>
      <c r="Q24" s="110">
        <v>0</v>
      </c>
      <c r="R24" s="110">
        <f>+[18]Imp.geo.cif!$F$5/1000</f>
        <v>11.419972480076176</v>
      </c>
      <c r="S24" s="110">
        <f>+[10]Imp.geo.cif!$E$6/1000</f>
        <v>26.793611792840128</v>
      </c>
      <c r="T24" s="110">
        <f>+[19]Imp.geo.cif!$E$5/1000</f>
        <v>20.518653961269322</v>
      </c>
      <c r="U24" s="110">
        <f>+[11]Imp.geo.cif!$E$6/1000</f>
        <v>29.109855395160714</v>
      </c>
      <c r="V24" s="110">
        <f>+[12]Imp.geo.cif!$B$8/1000</f>
        <v>60.439653443549261</v>
      </c>
      <c r="W24" s="110">
        <f>+[13]Imp.geo.cif!$B$8/1000</f>
        <v>14.63674393969703</v>
      </c>
      <c r="X24" s="110">
        <f>[14]Imp.geo.cif!$E$8/1000</f>
        <v>35.086762486980277</v>
      </c>
      <c r="Y24" s="110">
        <f>+[20]Imp.Geo.Cif!$B$7/1000</f>
        <v>97.677416640741498</v>
      </c>
      <c r="Z24" s="110">
        <f>+[15]Folha1!$B$9/1000</f>
        <v>63.560217119791716</v>
      </c>
      <c r="AA24" s="110">
        <f t="shared" si="1"/>
        <v>530.00917744833203</v>
      </c>
    </row>
    <row r="25" spans="1:27" ht="15.75" x14ac:dyDescent="0.25">
      <c r="A25" s="105" t="s">
        <v>79</v>
      </c>
      <c r="B25" s="110">
        <f>[1]Imp.geo.cif!$E$30/1000</f>
        <v>1.6225335696124849E-2</v>
      </c>
      <c r="C25" s="110">
        <f>[1]Imp.geo.cif!$E$60/1000</f>
        <v>8.341414467644567</v>
      </c>
      <c r="D25" s="110">
        <f>0</f>
        <v>0</v>
      </c>
      <c r="E25" s="110">
        <f>0</f>
        <v>0</v>
      </c>
      <c r="F25" s="110">
        <v>0</v>
      </c>
      <c r="G25" s="110">
        <v>0</v>
      </c>
      <c r="H25" s="110">
        <f>0</f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f t="shared" si="0"/>
        <v>8.3576398033406925</v>
      </c>
      <c r="O25" s="110">
        <v>0</v>
      </c>
      <c r="P25" s="110">
        <v>0</v>
      </c>
      <c r="Q25" s="110">
        <v>0</v>
      </c>
      <c r="R25" s="110">
        <f>+[18]Imp.geo.cif!$F$25/1000</f>
        <v>0.79472935907614672</v>
      </c>
      <c r="S25" s="110">
        <v>0</v>
      </c>
      <c r="T25" s="110">
        <v>0</v>
      </c>
      <c r="U25" s="110">
        <v>0</v>
      </c>
      <c r="V25" s="110">
        <f>+[12]Imp.geo.cif!$B$34/1000</f>
        <v>0.21279854090982223</v>
      </c>
      <c r="W25" s="110">
        <v>0</v>
      </c>
      <c r="X25" s="110">
        <f>0</f>
        <v>0</v>
      </c>
      <c r="Y25" s="110">
        <v>0</v>
      </c>
      <c r="Z25" s="110">
        <v>0</v>
      </c>
      <c r="AA25" s="110">
        <f t="shared" si="1"/>
        <v>1.0075278999859689</v>
      </c>
    </row>
    <row r="26" spans="1:27" ht="15.75" x14ac:dyDescent="0.25">
      <c r="A26" s="105" t="s">
        <v>80</v>
      </c>
      <c r="B26" s="110">
        <f>0</f>
        <v>0</v>
      </c>
      <c r="C26" s="110">
        <f>0</f>
        <v>0</v>
      </c>
      <c r="D26" s="110">
        <f>[2]Imp.geo.cif!$E$30/1000</f>
        <v>0.32835036098929377</v>
      </c>
      <c r="E26" s="110">
        <f>0</f>
        <v>0</v>
      </c>
      <c r="F26" s="110">
        <f>+[3]Imp.geo.cifmai!$E$32/1000</f>
        <v>7.5035173059246077E-2</v>
      </c>
      <c r="G26" s="110">
        <v>0</v>
      </c>
      <c r="H26" s="110">
        <f>0</f>
        <v>0</v>
      </c>
      <c r="I26" s="110">
        <v>0</v>
      </c>
      <c r="J26" s="110">
        <v>0</v>
      </c>
      <c r="K26" s="110">
        <f>+[6]Imp.geo.cif!$E$29/1000</f>
        <v>11.694355748045494</v>
      </c>
      <c r="L26" s="110">
        <v>0</v>
      </c>
      <c r="M26" s="110">
        <v>0</v>
      </c>
      <c r="N26" s="110">
        <f t="shared" si="0"/>
        <v>12.097741282094034</v>
      </c>
      <c r="O26" s="110">
        <v>0</v>
      </c>
      <c r="P26" s="110">
        <v>0</v>
      </c>
      <c r="Q26" s="110">
        <f>+[17]Imp.geo.cif!$E$24/1000</f>
        <v>3.003925852532718E-2</v>
      </c>
      <c r="R26" s="110">
        <v>0</v>
      </c>
      <c r="S26" s="110">
        <f>+[10]Imp.geo.cif!$E$30/1000</f>
        <v>5.4141431526240469</v>
      </c>
      <c r="T26" s="110">
        <f>+[19]Imp.geo.cif!$E$24/1000</f>
        <v>3.9605205055836854</v>
      </c>
      <c r="U26" s="110">
        <f>+[11]Imp.geo.cif!$E$38/1000</f>
        <v>9.1856905405652256</v>
      </c>
      <c r="V26" s="110">
        <v>0</v>
      </c>
      <c r="W26" s="110">
        <v>0</v>
      </c>
      <c r="X26" s="110">
        <f>[14]Imp.geo.cif!$E$31/1000</f>
        <v>28.626494655252269</v>
      </c>
      <c r="Y26" s="110">
        <f>+[20]Imp.Geo.Cif!$C$33/1000</f>
        <v>10.056112111808551</v>
      </c>
      <c r="Z26" s="110">
        <v>0</v>
      </c>
      <c r="AA26" s="110">
        <f t="shared" si="1"/>
        <v>57.273000224359109</v>
      </c>
    </row>
    <row r="27" spans="1:27" ht="15.75" x14ac:dyDescent="0.25">
      <c r="A27" s="105" t="s">
        <v>81</v>
      </c>
      <c r="B27" s="110">
        <f>[1]Imp.geo.cif!$E$31/1000</f>
        <v>0.45783228411335436</v>
      </c>
      <c r="C27" s="110">
        <f>0</f>
        <v>0</v>
      </c>
      <c r="D27" s="110">
        <f>[2]Imp.geo.cif!$E$31/1000</f>
        <v>4.5092390741152562</v>
      </c>
      <c r="E27" s="110">
        <f>0</f>
        <v>0</v>
      </c>
      <c r="F27" s="110">
        <v>0</v>
      </c>
      <c r="G27" s="110">
        <v>0</v>
      </c>
      <c r="H27" s="110">
        <f>[4]Imp.geo.cif!$E$30/1000</f>
        <v>42.076950665112705</v>
      </c>
      <c r="I27" s="110">
        <v>0</v>
      </c>
      <c r="J27" s="110">
        <v>0</v>
      </c>
      <c r="K27" s="110">
        <v>0</v>
      </c>
      <c r="L27" s="110">
        <f>+[6]Imp.geo.cif!$E$54/1000</f>
        <v>5.5052708206994136</v>
      </c>
      <c r="M27" s="110">
        <v>0</v>
      </c>
      <c r="N27" s="110">
        <f t="shared" si="0"/>
        <v>52.549292844040728</v>
      </c>
      <c r="O27" s="110">
        <v>0</v>
      </c>
      <c r="P27" s="110">
        <f>+[9]Imp.geo.cif!$F$27/1000</f>
        <v>23.799580594011324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  <c r="V27" s="110">
        <f>+[12]Imp.geo.cif!$B$36/1000</f>
        <v>1.3249706951634515</v>
      </c>
      <c r="W27" s="110">
        <f>+[13]Imp.geo.cif!$B$31/1000</f>
        <v>18.090674453072431</v>
      </c>
      <c r="X27" s="110">
        <f>0</f>
        <v>0</v>
      </c>
      <c r="Y27" s="110">
        <f>+[20]Imp.Geo.Cif!$B$35/1000</f>
        <v>8.5865382520589826</v>
      </c>
      <c r="Z27" s="110">
        <f>+[15]Folha1!$B$35/1000</f>
        <v>1.5542917421777287</v>
      </c>
      <c r="AA27" s="110">
        <f t="shared" si="1"/>
        <v>53.356055736483917</v>
      </c>
    </row>
    <row r="28" spans="1:27" ht="15.75" x14ac:dyDescent="0.25">
      <c r="A28" s="105" t="s">
        <v>82</v>
      </c>
      <c r="B28" s="110">
        <f>0</f>
        <v>0</v>
      </c>
      <c r="C28" s="110">
        <f>0</f>
        <v>0</v>
      </c>
      <c r="D28" s="110">
        <f>0</f>
        <v>0</v>
      </c>
      <c r="E28" s="110">
        <f>0</f>
        <v>0</v>
      </c>
      <c r="F28" s="110">
        <v>0</v>
      </c>
      <c r="G28" s="110">
        <v>0</v>
      </c>
      <c r="H28" s="110">
        <f>0</f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f t="shared" si="0"/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f>+[13]Imp.geo.cif!$B$33/1000</f>
        <v>45.65943206823183</v>
      </c>
      <c r="X28" s="110">
        <f>0</f>
        <v>0</v>
      </c>
      <c r="Y28" s="110">
        <v>0</v>
      </c>
      <c r="Z28" s="110">
        <v>0</v>
      </c>
      <c r="AA28" s="110">
        <f t="shared" si="1"/>
        <v>45.65943206823183</v>
      </c>
    </row>
    <row r="29" spans="1:27" ht="15.75" x14ac:dyDescent="0.25">
      <c r="A29" s="105" t="s">
        <v>83</v>
      </c>
      <c r="B29" s="110">
        <f>0</f>
        <v>0</v>
      </c>
      <c r="C29" s="110">
        <f>0</f>
        <v>0</v>
      </c>
      <c r="D29" s="110">
        <f>0</f>
        <v>0</v>
      </c>
      <c r="E29" s="110">
        <f>0</f>
        <v>0</v>
      </c>
      <c r="F29" s="110">
        <v>0</v>
      </c>
      <c r="G29" s="110">
        <v>0</v>
      </c>
      <c r="H29" s="110">
        <f>[4]Imp.geo.cif!$E$29/1000</f>
        <v>78.579205202542198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f t="shared" si="0"/>
        <v>78.579205202542198</v>
      </c>
      <c r="O29" s="110">
        <f>+[8]Imp.geo.cif!$E$29/1000</f>
        <v>343.50755942801919</v>
      </c>
      <c r="P29" s="110">
        <f>+[9]Imp.geo.cif!$F$26/1000</f>
        <v>87.206093895435458</v>
      </c>
      <c r="Q29" s="110">
        <v>0</v>
      </c>
      <c r="R29" s="110">
        <f>+[18]Imp.geo.cif!$F$26/1000</f>
        <v>295.61378150000149</v>
      </c>
      <c r="S29" s="110">
        <v>0</v>
      </c>
      <c r="T29" s="110">
        <f>+[19]Imp.geo.cif!$E$25/1000</f>
        <v>32.867205543249227</v>
      </c>
      <c r="U29" s="110">
        <f>+[11]Imp.geo.cif!$E$39/1000</f>
        <v>179.28567641821579</v>
      </c>
      <c r="V29" s="110">
        <f>+[12]Imp.geo.cif!$B$35/1000</f>
        <v>57.752160175436941</v>
      </c>
      <c r="W29" s="110">
        <f>+[13]Imp.geo.cif!$B$30/1000</f>
        <v>139.85949462619797</v>
      </c>
      <c r="X29" s="110">
        <f>0</f>
        <v>0</v>
      </c>
      <c r="Y29" s="110">
        <v>0</v>
      </c>
      <c r="Z29" s="110">
        <f>+[15]Folha1!$B$34/1000</f>
        <v>70.352912079158784</v>
      </c>
      <c r="AA29" s="110">
        <f t="shared" si="1"/>
        <v>1206.444883665715</v>
      </c>
    </row>
    <row r="30" spans="1:27" ht="15.75" x14ac:dyDescent="0.25">
      <c r="A30" s="105" t="s">
        <v>84</v>
      </c>
      <c r="B30" s="110">
        <f>[1]Imp.geo.cif!$E$16/1000</f>
        <v>96.495881910461549</v>
      </c>
      <c r="C30" s="110">
        <f>[1]Imp.geo.cif!$E$46/1000</f>
        <v>123.15967162326875</v>
      </c>
      <c r="D30" s="110">
        <f>[2]Imp.geo.cif!$E$15/1000</f>
        <v>35.356617819634742</v>
      </c>
      <c r="E30" s="110">
        <f>[2]Imp.geo.cif!$E$41/1000</f>
        <v>231.42381756255824</v>
      </c>
      <c r="F30" s="110">
        <f>+[3]Imp.geo.cifmai!$E$12/1000</f>
        <v>148.46931901505414</v>
      </c>
      <c r="G30" s="110">
        <f>+[3]Imp.geo.cifjuin!$E$16/1000</f>
        <v>62.685300000000019</v>
      </c>
      <c r="H30" s="110">
        <f>[4]Imp.geo.cif!$E$12/1000</f>
        <v>82.844638830987094</v>
      </c>
      <c r="I30" s="110">
        <f>+[16]Imp.geo.cif!$E$10/1000</f>
        <v>194.24223895897219</v>
      </c>
      <c r="J30" s="110">
        <f>+[5]Imp.geo.cif!$E$15/1000</f>
        <v>86.316540865074629</v>
      </c>
      <c r="K30" s="110">
        <f>+[6]Imp.geo.cif!$E$15/1000</f>
        <v>155.07600722881796</v>
      </c>
      <c r="L30" s="110">
        <f>+[6]Imp.geo.cif!$E$39/1000</f>
        <v>143.40363897311497</v>
      </c>
      <c r="M30" s="110">
        <f>+[7]Folha1!$B$14/1000</f>
        <v>42.718519403294941</v>
      </c>
      <c r="N30" s="110">
        <f t="shared" si="0"/>
        <v>1402.192192191239</v>
      </c>
      <c r="O30" s="110">
        <f>+[8]Imp.geo.cif!$E$14/1000</f>
        <v>96.551510747635632</v>
      </c>
      <c r="P30" s="110">
        <f>+[9]Imp.geo.cif!$F$12/1000</f>
        <v>157.06020692534941</v>
      </c>
      <c r="Q30" s="110">
        <f>+[17]Imp.geo.cif!$E$10/1000</f>
        <v>135.475777881271</v>
      </c>
      <c r="R30" s="110">
        <f>+[18]Imp.geo.cif!$F$11/1000</f>
        <v>173.81821516377451</v>
      </c>
      <c r="S30" s="110">
        <f>+[10]Imp.geo.cif!$E$15/1000</f>
        <v>93.934807946841616</v>
      </c>
      <c r="T30" s="110">
        <f>+[19]Imp.geo.cif!$E$9/1000</f>
        <v>67.73299976900104</v>
      </c>
      <c r="U30" s="110">
        <f>+[11]Imp.geo.cif!$E$17/1000</f>
        <v>127.89243389559891</v>
      </c>
      <c r="V30" s="110">
        <f>+[12]Imp.geo.cif!$B$18/1000</f>
        <v>37.034720135994256</v>
      </c>
      <c r="W30" s="110">
        <f>+[13]Imp.geo.cif!$B$15/1000</f>
        <v>174.21577074505808</v>
      </c>
      <c r="X30" s="110">
        <f>[14]Imp.geo.cif!$E$16/1000</f>
        <v>77.434602112212616</v>
      </c>
      <c r="Y30" s="110">
        <f>+[20]Imp.Geo.Cif!$B$15/1000</f>
        <v>116.52034712727227</v>
      </c>
      <c r="Z30" s="110">
        <f>+[15]Folha1!$B$18/1000</f>
        <v>159.90748380271205</v>
      </c>
      <c r="AA30" s="110">
        <f t="shared" si="1"/>
        <v>1417.5788762527211</v>
      </c>
    </row>
    <row r="31" spans="1:27" ht="15.75" x14ac:dyDescent="0.25">
      <c r="A31" s="105" t="s">
        <v>85</v>
      </c>
      <c r="B31" s="110">
        <f>[1]Imp.geo.cif!$E$15/1000</f>
        <v>63.225861584641336</v>
      </c>
      <c r="C31" s="110">
        <f>[1]Imp.geo.cif!$E$45/1000</f>
        <v>36.093326892405166</v>
      </c>
      <c r="D31" s="110">
        <f>[2]Imp.geo.cif!$E$14/1000</f>
        <v>30.50507233509575</v>
      </c>
      <c r="E31" s="110">
        <f>0</f>
        <v>0</v>
      </c>
      <c r="F31" s="110">
        <f>+[3]Imp.geo.cifmai!$E$11/1000</f>
        <v>35.056276059659744</v>
      </c>
      <c r="G31" s="110">
        <f>+[3]Imp.geo.cifjuin!$E$15/1000</f>
        <v>5.5694999999999997</v>
      </c>
      <c r="H31" s="110">
        <f>0</f>
        <v>0</v>
      </c>
      <c r="I31" s="110">
        <v>0</v>
      </c>
      <c r="J31" s="110">
        <f>+[5]Imp.geo.cif!$E$14/1000</f>
        <v>127.46173571601548</v>
      </c>
      <c r="K31" s="110">
        <f>+[6]Imp.geo.cif!$E$14/1000</f>
        <v>77.461693018735247</v>
      </c>
      <c r="L31" s="110">
        <v>0</v>
      </c>
      <c r="M31" s="110">
        <v>0</v>
      </c>
      <c r="N31" s="110">
        <f t="shared" si="0"/>
        <v>375.37346560655277</v>
      </c>
      <c r="O31" s="110">
        <f>+[8]Imp.geo.cif!$E$13/1000</f>
        <v>118.71196734789868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f>+[11]Imp.geo.cif!$E$16/1000</f>
        <v>0.67137929913051775</v>
      </c>
      <c r="V31" s="110">
        <f>+[12]Imp.geo.cif!$B$17/1000</f>
        <v>76.132810645914205</v>
      </c>
      <c r="W31" s="110">
        <f>+[13]Imp.geo.cif!$B$14/1000</f>
        <v>19.240336658240739</v>
      </c>
      <c r="X31" s="110">
        <f>[14]Imp.geo.cif!$E$15/1000</f>
        <v>39.024469111771289</v>
      </c>
      <c r="Y31" s="110">
        <v>0</v>
      </c>
      <c r="Z31" s="110">
        <f>+[15]Folha1!$B$17/1000</f>
        <v>121.82673844141647</v>
      </c>
      <c r="AA31" s="110">
        <f t="shared" si="1"/>
        <v>375.6077015043719</v>
      </c>
    </row>
    <row r="32" spans="1:27" ht="15.75" x14ac:dyDescent="0.25">
      <c r="A32" s="105" t="s">
        <v>86</v>
      </c>
      <c r="B32" s="110">
        <f>[1]Imp.geo.cif!$E$13/1000</f>
        <v>14.519634642968111</v>
      </c>
      <c r="C32" s="110">
        <f>[1]Imp.geo.cif!$E$42/1000</f>
        <v>3.1255558480457113</v>
      </c>
      <c r="D32" s="110">
        <f>[2]Imp.geo.cif!$E$12/1000</f>
        <v>81.128671495541468</v>
      </c>
      <c r="E32" s="110">
        <f>0</f>
        <v>0</v>
      </c>
      <c r="F32" s="110">
        <v>0</v>
      </c>
      <c r="G32" s="110">
        <f>+[3]Imp.geo.cifjuin!$E$13/1000</f>
        <v>2.0095999999999998</v>
      </c>
      <c r="H32" s="110">
        <f>[4]Imp.geo.cif!$E$10/1000</f>
        <v>21.101804541244888</v>
      </c>
      <c r="I32" s="110">
        <v>0</v>
      </c>
      <c r="J32" s="110">
        <v>0</v>
      </c>
      <c r="K32" s="110">
        <f>+[6]Imp.geo.cif!$E$12/1000</f>
        <v>46.492256144264026</v>
      </c>
      <c r="L32" s="110">
        <v>0</v>
      </c>
      <c r="M32" s="110">
        <f>+[7]Folha1!$B$12/1000</f>
        <v>0.65377421197723828</v>
      </c>
      <c r="N32" s="110">
        <f t="shared" si="0"/>
        <v>169.03129688404141</v>
      </c>
      <c r="O32" s="110">
        <f>+[8]Imp.geo.cif!$E$11/1000</f>
        <v>2.4894714232473629</v>
      </c>
      <c r="P32" s="110">
        <f>+[9]Imp.geo.cif!$F$10/1000</f>
        <v>2.9724732628682218</v>
      </c>
      <c r="Q32" s="110">
        <v>0</v>
      </c>
      <c r="R32" s="110">
        <f>+[18]Imp.geo.cif!$F$9/1000</f>
        <v>1.395179914989944</v>
      </c>
      <c r="S32" s="110">
        <f>+[10]Imp.geo.cif!$E$13/1000</f>
        <v>7.2297011409676015</v>
      </c>
      <c r="T32" s="110">
        <v>0</v>
      </c>
      <c r="U32" s="110">
        <f>+[11]Imp.geo.cif!$E$14/1000</f>
        <v>0.89099996480550148</v>
      </c>
      <c r="V32" s="110">
        <f>+[12]Imp.geo.cif!$B$14/1000</f>
        <v>1.0641507996919219</v>
      </c>
      <c r="W32" s="110">
        <v>0</v>
      </c>
      <c r="X32" s="110">
        <f>[14]Imp.geo.cif!$E$13/1000</f>
        <v>0.51953990218184842</v>
      </c>
      <c r="Y32" s="110">
        <v>0</v>
      </c>
      <c r="Z32" s="110">
        <f>+[15]Folha1!$B$15/1000</f>
        <v>0.58196694617861955</v>
      </c>
      <c r="AA32" s="110">
        <f t="shared" si="1"/>
        <v>17.143483354931021</v>
      </c>
    </row>
    <row r="33" spans="1:27" ht="15.75" x14ac:dyDescent="0.25">
      <c r="A33" s="105" t="s">
        <v>87</v>
      </c>
      <c r="B33" s="110">
        <f>[1]Imp.geo.cif!$G$33/1000</f>
        <v>381.20643742953155</v>
      </c>
      <c r="C33" s="110">
        <f>[1]Imp.geo.cif!$G$62/1000</f>
        <v>102.96987343410235</v>
      </c>
      <c r="D33" s="110">
        <f>[2]Imp.geo.cif!$G$33/1000</f>
        <v>511.00081143469782</v>
      </c>
      <c r="E33" s="110">
        <f>[2]Imp.geo.cif!$G$55/1000</f>
        <v>308.7206805481494</v>
      </c>
      <c r="F33" s="110">
        <f>+[3]Imp.geo.cifmai!$E$39/1000</f>
        <v>340.53394914256796</v>
      </c>
      <c r="G33" s="110">
        <f>+[3]Imp.geo.cifjuin!$E$36/1000</f>
        <v>204.87799999999996</v>
      </c>
      <c r="H33" s="110">
        <f>[4]Imp.geo.cif!$E$38/1000</f>
        <v>263.25118976970975</v>
      </c>
      <c r="I33" s="110">
        <f>+[16]Imp.geo.cif!$F$30/1000</f>
        <v>171.99969219590849</v>
      </c>
      <c r="J33" s="110">
        <f>+[5]Imp.geo.cif!$E$34/1000</f>
        <v>221.14284907058834</v>
      </c>
      <c r="K33" s="110">
        <f>+[6]Imp.geo.cif!$G$31/1000</f>
        <v>410.03735950885959</v>
      </c>
      <c r="L33" s="110">
        <f>+[6]Imp.geo.cif!$F$62/1000</f>
        <v>396.28466575702447</v>
      </c>
      <c r="M33" s="110">
        <f>+[7]Folha1!$C$30/1000</f>
        <v>274.98278230206847</v>
      </c>
      <c r="N33" s="110">
        <f>M33+L33+K33+J33+I33+H33+G33+F33+E33+D33+C33+B33</f>
        <v>3587.0082905932077</v>
      </c>
      <c r="O33" s="110">
        <f>+[8]Imp.geo.cif!$E$36/1000</f>
        <v>334.13273920328947</v>
      </c>
      <c r="P33" s="110">
        <f>+[9]Imp.geo.cif!$F$32/1000</f>
        <v>278.92716040071667</v>
      </c>
      <c r="Q33" s="110">
        <f>+[17]Imp.geo.cif!$E$29/1000</f>
        <v>470.17596834690698</v>
      </c>
      <c r="R33" s="110">
        <f>+[18]Imp.geo.cif!$F$33/1000</f>
        <v>161.59268825445989</v>
      </c>
      <c r="S33" s="110">
        <f>+[10]Imp.geo.cif!$E$37/1000</f>
        <v>399.73065084058311</v>
      </c>
      <c r="T33" s="110">
        <f>+[19]Imp.geo.cif!$E$33/1000</f>
        <v>278.33206964641727</v>
      </c>
      <c r="U33" s="110">
        <f>+[11]Imp.geo.cif!$E$47/1000</f>
        <v>236.58101510734991</v>
      </c>
      <c r="V33" s="110">
        <f>+[12]Imp.geo.cif!$B$41/1000</f>
        <v>336.90200002974416</v>
      </c>
      <c r="W33" s="110">
        <f>+[13]Imp.geo.cif!$B$36/1000</f>
        <v>54.542182072323556</v>
      </c>
      <c r="X33" s="110">
        <f>[14]Imp.geo.cif!$E$35/1000</f>
        <v>109.93880016778195</v>
      </c>
      <c r="Y33" s="110">
        <f>+[20]Imp.Geo.Cif!$B$38/1000</f>
        <v>588.91981764358843</v>
      </c>
      <c r="Z33" s="110">
        <f>+[15]Folha1!$B$41/1000</f>
        <v>268.92767740442036</v>
      </c>
      <c r="AA33" s="110">
        <f>+Z33+Y33+X33+W33+V33+U33+T33+S33+R33+Q33+P33+O33</f>
        <v>3518.7027691175817</v>
      </c>
    </row>
    <row r="34" spans="1:27" ht="15.75" x14ac:dyDescent="0.25">
      <c r="A34" s="105" t="s">
        <v>88</v>
      </c>
      <c r="B34" s="112">
        <f t="shared" ref="B34:AA34" si="2">SUM(B6:B33)</f>
        <v>14099.944904830672</v>
      </c>
      <c r="C34" s="112">
        <f t="shared" si="2"/>
        <v>10281.243762678159</v>
      </c>
      <c r="D34" s="112">
        <f t="shared" si="2"/>
        <v>14424.153635182625</v>
      </c>
      <c r="E34" s="112">
        <f t="shared" si="2"/>
        <v>11867.065848150478</v>
      </c>
      <c r="F34" s="112">
        <f t="shared" si="2"/>
        <v>15460.266374722929</v>
      </c>
      <c r="G34" s="112">
        <f t="shared" si="2"/>
        <v>9493.1224000000057</v>
      </c>
      <c r="H34" s="112">
        <f t="shared" si="2"/>
        <v>17831.63451476776</v>
      </c>
      <c r="I34" s="112">
        <f t="shared" si="2"/>
        <v>12956.809412476925</v>
      </c>
      <c r="J34" s="112">
        <f t="shared" si="2"/>
        <v>18023.714996650524</v>
      </c>
      <c r="K34" s="112">
        <f t="shared" si="2"/>
        <v>14923.97060708764</v>
      </c>
      <c r="L34" s="112">
        <f t="shared" si="2"/>
        <v>15713.008592126565</v>
      </c>
      <c r="M34" s="112">
        <f t="shared" si="2"/>
        <v>16624.595550908773</v>
      </c>
      <c r="N34" s="112">
        <f>SUM(N6:N33)</f>
        <v>171699.53059958311</v>
      </c>
      <c r="O34" s="112">
        <f t="shared" si="2"/>
        <v>9561.5513539925123</v>
      </c>
      <c r="P34" s="112">
        <f t="shared" si="2"/>
        <v>9324.1004671410083</v>
      </c>
      <c r="Q34" s="112">
        <f t="shared" si="2"/>
        <v>10529.051271317441</v>
      </c>
      <c r="R34" s="112">
        <f t="shared" si="2"/>
        <v>8859.9364144142128</v>
      </c>
      <c r="S34" s="112">
        <f t="shared" si="2"/>
        <v>11471.313398540029</v>
      </c>
      <c r="T34" s="112">
        <f t="shared" si="2"/>
        <v>10126.571276158142</v>
      </c>
      <c r="U34" s="112">
        <f t="shared" si="2"/>
        <v>12041.97255831439</v>
      </c>
      <c r="V34" s="112">
        <f>SUM(V6:V33)</f>
        <v>12412.376161749216</v>
      </c>
      <c r="W34" s="112">
        <f t="shared" si="2"/>
        <v>12637.44170879585</v>
      </c>
      <c r="X34" s="112">
        <f>SUM(X6:X33)</f>
        <v>16712.13675964006</v>
      </c>
      <c r="Y34" s="112">
        <f t="shared" si="2"/>
        <v>17341.757235134006</v>
      </c>
      <c r="Z34" s="112">
        <f t="shared" si="2"/>
        <v>11350.071525735679</v>
      </c>
      <c r="AA34" s="112">
        <f t="shared" si="2"/>
        <v>142368.28013093254</v>
      </c>
    </row>
    <row r="35" spans="1:27" ht="15.75" x14ac:dyDescent="0.25">
      <c r="A35" s="105"/>
    </row>
    <row r="36" spans="1:27" ht="16.5" thickBot="1" x14ac:dyDescent="0.3">
      <c r="A36" s="105"/>
      <c r="B36" s="116" t="s">
        <v>89</v>
      </c>
    </row>
    <row r="37" spans="1:27" ht="16.5" thickBot="1" x14ac:dyDescent="0.3">
      <c r="A37" s="105"/>
      <c r="B37" s="137">
        <v>41670</v>
      </c>
      <c r="C37" s="137">
        <v>41671</v>
      </c>
      <c r="D37" s="137">
        <v>41728</v>
      </c>
      <c r="E37" s="137">
        <v>41759</v>
      </c>
      <c r="F37" s="137">
        <v>41790</v>
      </c>
      <c r="G37" s="137">
        <v>41820</v>
      </c>
      <c r="H37" s="137">
        <v>41851</v>
      </c>
      <c r="I37" s="137">
        <v>41882</v>
      </c>
      <c r="J37" s="137">
        <v>41912</v>
      </c>
      <c r="K37" s="137">
        <v>41943</v>
      </c>
      <c r="L37" s="137">
        <v>41973</v>
      </c>
      <c r="M37" s="137">
        <v>42004</v>
      </c>
      <c r="N37" s="137" t="s">
        <v>38</v>
      </c>
      <c r="O37" s="137">
        <v>42035</v>
      </c>
      <c r="P37" s="137">
        <v>42036</v>
      </c>
      <c r="Q37" s="137">
        <v>42093</v>
      </c>
      <c r="R37" s="137">
        <v>42124</v>
      </c>
      <c r="S37" s="137">
        <v>42155</v>
      </c>
      <c r="T37" s="137">
        <v>42185</v>
      </c>
      <c r="U37" s="137">
        <v>42216</v>
      </c>
      <c r="V37" s="137">
        <v>42247</v>
      </c>
      <c r="W37" s="137">
        <v>42277</v>
      </c>
      <c r="X37" s="137">
        <v>42308</v>
      </c>
      <c r="Y37" s="137">
        <v>42338</v>
      </c>
      <c r="Z37" s="137">
        <v>42369</v>
      </c>
      <c r="AA37" s="137" t="s">
        <v>63</v>
      </c>
    </row>
    <row r="38" spans="1:27" ht="15.75" x14ac:dyDescent="0.25">
      <c r="A38" s="105" t="s">
        <v>90</v>
      </c>
      <c r="B38" s="110">
        <f>'[21]Balança Com.Geográfica 2015'!$CZ$8</f>
        <v>0</v>
      </c>
      <c r="C38" s="110">
        <f>'[21]Balança Com.Geográfica 2015'!$DA$8</f>
        <v>0</v>
      </c>
      <c r="D38" s="110">
        <f>'[21]Balança Com.Geográfica 2015'!$DB$8</f>
        <v>0</v>
      </c>
      <c r="E38" s="110">
        <f>'[21]Balança Com.Geográfica 2015'!$DD$8</f>
        <v>0</v>
      </c>
      <c r="F38" s="110">
        <f>+'[21]Balança Com.Geográfica 2015'!$DE$8</f>
        <v>0</v>
      </c>
      <c r="G38" s="110">
        <f>+'[21]Balança Com.Geográfica 2015'!$DF$8</f>
        <v>0</v>
      </c>
      <c r="H38" s="110">
        <f>+'[21]Balança Com.Geográfica 2015'!$DH$8</f>
        <v>0</v>
      </c>
      <c r="I38" s="110">
        <f>+'[21]Balança Com.Geográfica 2015'!$DI$8</f>
        <v>0</v>
      </c>
      <c r="J38" s="110">
        <f>+'[21]Balança Com.Geográfica 2015'!$DJ$8</f>
        <v>0</v>
      </c>
      <c r="K38" s="110">
        <f>+'[21]Balança Com.Geográfica 2015'!$DL$8</f>
        <v>0</v>
      </c>
      <c r="L38" s="110">
        <f>+'[21]Balança Com.Geográfica 2015'!$DM$8</f>
        <v>0</v>
      </c>
      <c r="M38" s="110">
        <f>+'[21]Balança Com.Geográfica 2015'!$DN$8</f>
        <v>0</v>
      </c>
      <c r="N38" s="110">
        <f>M38+L38+K38+J38+I38+H38+G38+F38+E38+D38+C38+B38</f>
        <v>0</v>
      </c>
      <c r="O38" s="110">
        <f>+'[21]Balança Com.Geográfica 2015'!$DQ$8</f>
        <v>0</v>
      </c>
      <c r="P38" s="110">
        <f>+'[21]Balança Com.Geográfica 2015'!$DR$8</f>
        <v>0</v>
      </c>
      <c r="Q38" s="110">
        <f>+'[21]Balança Com.Geográfica 2015'!$DS$8</f>
        <v>0</v>
      </c>
      <c r="R38" s="110">
        <f>+'[21]Balança Com.Geográfica 2015'!$DU$8</f>
        <v>1.0681846224141758</v>
      </c>
      <c r="S38" s="110">
        <f>+'[21]Balança Com.Geográfica 2015'!$DV$8</f>
        <v>0</v>
      </c>
      <c r="T38" s="110">
        <f>+'[21]Balança Com.Geográfica 2015'!$DW$8</f>
        <v>0</v>
      </c>
      <c r="U38" s="110">
        <f>+'[21]Balança Com.Geográfica 2015'!$DY$8</f>
        <v>0</v>
      </c>
      <c r="V38" s="110">
        <f>+'[21]Balança Com.Geográfica 2015'!$DZ$8</f>
        <v>0</v>
      </c>
      <c r="W38" s="110">
        <f>+'[21]Balança Com.Geográfica 2015'!$EA$8</f>
        <v>0</v>
      </c>
      <c r="X38" s="110">
        <f>0</f>
        <v>0</v>
      </c>
      <c r="Y38" s="110">
        <v>0</v>
      </c>
      <c r="Z38" s="110">
        <v>0</v>
      </c>
      <c r="AA38" s="110">
        <f>Z38+Y38+X38+W38+V38+U38+T38+S38+R38+Q38+P38+O38</f>
        <v>1.0681846224141758</v>
      </c>
    </row>
    <row r="39" spans="1:27" ht="15.75" x14ac:dyDescent="0.25">
      <c r="A39" s="105" t="s">
        <v>65</v>
      </c>
      <c r="B39" s="110">
        <f>'[21]Balança Com.Geográfica 2015'!$CZ$9</f>
        <v>7.9471031981019662</v>
      </c>
      <c r="C39" s="110">
        <f>'[21]Balança Com.Geográfica 2015'!$DA$9</f>
        <v>7.963597510933357</v>
      </c>
      <c r="D39" s="110">
        <f>'[21]Balança Com.Geográfica 2015'!$DB$9</f>
        <v>10.709407231437016</v>
      </c>
      <c r="E39" s="110">
        <f>'[21]Balança Com.Geográfica 2015'!$DD$9</f>
        <v>17.699222964485323</v>
      </c>
      <c r="F39" s="110">
        <f>+'[21]Balança Com.Geográfica 2015'!$DE$9</f>
        <v>5.5675598331736374E-2</v>
      </c>
      <c r="G39" s="110">
        <f>+'[21]Balança Com.Geográfica 2015'!$DF$9</f>
        <v>2.6423904385101982</v>
      </c>
      <c r="H39" s="110">
        <f>+'[21]Balança Com.Geográfica 2015'!$DH$9</f>
        <v>8.399343204300024</v>
      </c>
      <c r="I39" s="110">
        <f>+'[21]Balança Com.Geográfica 2015'!$DI$9</f>
        <v>22.408387580520568</v>
      </c>
      <c r="J39" s="110">
        <f>+'[21]Balança Com.Geográfica 2015'!$DJ$9</f>
        <v>19.512875268769861</v>
      </c>
      <c r="K39" s="110">
        <f>+'[21]Balança Com.Geográfica 2015'!$DL$9</f>
        <v>16.438471571461378</v>
      </c>
      <c r="L39" s="110">
        <f>+'[21]Balança Com.Geográfica 2015'!$DM$9</f>
        <v>32.875985445724673</v>
      </c>
      <c r="M39" s="110">
        <f>+'[21]Balança Com.Geográfica 2015'!$DN$9</f>
        <v>42.320608370417816</v>
      </c>
      <c r="N39" s="110">
        <f t="shared" ref="N39:N48" si="3">M39+L39+K39+J39+I39+H39+G39+F39+E39+D39+C39+B39</f>
        <v>188.97306838299394</v>
      </c>
      <c r="O39" s="110">
        <f>+'[22]Balança Com.Geográfica 2016'!$DQ$9</f>
        <v>11.379682146511509</v>
      </c>
      <c r="P39" s="110">
        <f>+'[21]Balança Com.Geográfica 2015'!$DR$9</f>
        <v>11.312924694551032</v>
      </c>
      <c r="Q39" s="110">
        <f>+'[21]Balança Com.Geográfica 2015'!$DS$9</f>
        <v>14.072732278142277</v>
      </c>
      <c r="R39" s="110">
        <f>+'[21]Balança Com.Geográfica 2015'!$DU$9</f>
        <v>0</v>
      </c>
      <c r="S39" s="110">
        <f>+'[21]Balança Com.Geográfica 2015'!$DV$9</f>
        <v>11.665417868728156</v>
      </c>
      <c r="T39" s="110">
        <f>+'[22]Balança Com.Geográfica 2016'!$DW$9</f>
        <v>12.707212659288315</v>
      </c>
      <c r="U39" s="110">
        <f>+'[21]Balança Com.Geográfica 2015'!$DY$9</f>
        <v>49.333478566327607</v>
      </c>
      <c r="V39" s="110">
        <f>+'[21]Balança Com.Geográfica 2015'!$DZ$9</f>
        <v>12.16809822088884</v>
      </c>
      <c r="W39" s="110">
        <f>+'[22]Balança Com.Geográfica 2016'!$EA$9</f>
        <v>11.365909545545474</v>
      </c>
      <c r="X39" s="110">
        <f>[14]Export_Geo!$B$7/1000</f>
        <v>20.03910357802749</v>
      </c>
      <c r="Y39" s="110">
        <f>+'[22]Balança Com.Geográfica 2016'!$ED$9</f>
        <v>2.4247668694495053</v>
      </c>
      <c r="Z39" s="110">
        <f>+'[22]Balança Com.Geográfica 2016'!$EE$9</f>
        <v>6.953325581988949</v>
      </c>
      <c r="AA39" s="110">
        <f t="shared" ref="AA39:AA48" si="4">Z39+Y39+X39+W39+V39+U39+T39+S39+R39+Q39+P39+O39</f>
        <v>163.42265200944917</v>
      </c>
    </row>
    <row r="40" spans="1:27" ht="15.75" x14ac:dyDescent="0.25">
      <c r="A40" s="105" t="s">
        <v>68</v>
      </c>
      <c r="B40" s="110">
        <f>'[21]Balança Com.Geográfica 2015'!$CZ$16</f>
        <v>0</v>
      </c>
      <c r="C40" s="110">
        <f>'[21]Balança Com.Geográfica 2015'!$DA$16</f>
        <v>456.85383701612852</v>
      </c>
      <c r="D40" s="110">
        <f>'[21]Balança Com.Geográfica 2015'!$DB$16</f>
        <v>48.089416899642792</v>
      </c>
      <c r="E40" s="110">
        <f>'[21]Balança Com.Geográfica 2015'!$DD$16</f>
        <v>309.05902045516478</v>
      </c>
      <c r="F40" s="110">
        <f>+'[21]Balança Com.Geográfica 2015'!$DE$16</f>
        <v>33.488212362321207</v>
      </c>
      <c r="G40" s="110">
        <f>+'[21]Balança Com.Geográfica 2015'!$DF$16</f>
        <v>481.12757956485342</v>
      </c>
      <c r="H40" s="110">
        <f>+'[21]Balança Com.Geográfica 2015'!$DH$16</f>
        <v>381.79598324742767</v>
      </c>
      <c r="I40" s="110">
        <f>+'[21]Balança Com.Geográfica 2015'!$DI$16</f>
        <v>0</v>
      </c>
      <c r="J40" s="110">
        <f>+'[21]Balança Com.Geográfica 2015'!$DJ$16</f>
        <v>267.44718324993738</v>
      </c>
      <c r="K40" s="110">
        <f>+'[21]Balança Com.Geográfica 2015'!$DL$16</f>
        <v>234.84725911603147</v>
      </c>
      <c r="L40" s="110">
        <f>+'[21]Balança Com.Geográfica 2015'!$DM$16</f>
        <v>144.51801066302812</v>
      </c>
      <c r="M40" s="110">
        <f>+'[21]Balança Com.Geográfica 2015'!$DN$16</f>
        <v>148.39981566502328</v>
      </c>
      <c r="N40" s="110">
        <f t="shared" si="3"/>
        <v>2505.6263182395587</v>
      </c>
      <c r="O40" s="110">
        <f>+'[21]Balança Com.Geográfica 2015'!$DQ$16</f>
        <v>104.80307516943871</v>
      </c>
      <c r="P40" s="110">
        <f>+'[21]Balança Com.Geográfica 2015'!$DR$16</f>
        <v>67.432619116819268</v>
      </c>
      <c r="Q40" s="110">
        <f>+'[21]Balança Com.Geográfica 2015'!$DS$16</f>
        <v>0</v>
      </c>
      <c r="R40" s="110">
        <f>+'[21]Balança Com.Geográfica 2015'!$DU$16</f>
        <v>361.93899052629234</v>
      </c>
      <c r="S40" s="110">
        <f>+'[21]Balança Com.Geográfica 2015'!$DV$16</f>
        <v>274.79273693136696</v>
      </c>
      <c r="T40" s="110">
        <f>+'[21]Balança Com.Geográfica 2015'!$DW$16</f>
        <v>338.91069915537884</v>
      </c>
      <c r="U40" s="110">
        <f>+'[21]Balança Com.Geográfica 2015'!$DY$16</f>
        <v>93.918145615233257</v>
      </c>
      <c r="V40" s="110">
        <f>+'[21]Balança Com.Geográfica 2015'!$DZ$16</f>
        <v>0</v>
      </c>
      <c r="W40" s="110">
        <f>+'[21]Balança Com.Geográfica 2015'!$EA$16</f>
        <v>282.42290000000003</v>
      </c>
      <c r="X40" s="110">
        <f>[14]Export_Geo!$B$8/1000</f>
        <v>491.01532699945847</v>
      </c>
      <c r="Y40" s="110">
        <f>+'[22]Balança Com.Geográfica 2016'!$ED$16</f>
        <v>156.45397888339599</v>
      </c>
      <c r="Z40" s="110">
        <f>+'[22]Balança Com.Geográfica 2016'!$EE$16</f>
        <v>76.46633754258913</v>
      </c>
      <c r="AA40" s="110">
        <f t="shared" si="4"/>
        <v>2248.1548099399729</v>
      </c>
    </row>
    <row r="41" spans="1:27" ht="15.75" x14ac:dyDescent="0.25">
      <c r="A41" s="105" t="s">
        <v>1</v>
      </c>
      <c r="B41" s="110">
        <f>'[21]Balança Com.Geográfica 2015'!$CZ$17</f>
        <v>68.255058965850083</v>
      </c>
      <c r="C41" s="110">
        <f>'[21]Balança Com.Geográfica 2015'!$DA$17</f>
        <v>0</v>
      </c>
      <c r="D41" s="110">
        <f>'[21]Balança Com.Geográfica 2015'!$DB$17</f>
        <v>53.357619649647965</v>
      </c>
      <c r="E41" s="110">
        <f>'[21]Balança Com.Geográfica 2015'!$DD$17</f>
        <v>62.95767095256933</v>
      </c>
      <c r="F41" s="110">
        <f>+'[21]Balança Com.Geográfica 2015'!$DE$17</f>
        <v>209.35905983957636</v>
      </c>
      <c r="G41" s="110">
        <f>+'[21]Balança Com.Geográfica 2015'!$DF$17</f>
        <v>89.80365387547846</v>
      </c>
      <c r="H41" s="110">
        <f>+'[21]Balança Com.Geográfica 2015'!$DH$17</f>
        <v>0</v>
      </c>
      <c r="I41" s="110">
        <f>+'[21]Balança Com.Geográfica 2015'!$DI$17</f>
        <v>0</v>
      </c>
      <c r="J41" s="110">
        <f>+'[21]Balança Com.Geográfica 2015'!$DJ$17</f>
        <v>193.33524735213857</v>
      </c>
      <c r="K41" s="110">
        <f>+'[21]Balança Com.Geográfica 2015'!$DL$17</f>
        <v>311.61324077788902</v>
      </c>
      <c r="L41" s="110">
        <f>+'[21]Balança Com.Geográfica 2015'!$DM$17</f>
        <v>844.52881443298963</v>
      </c>
      <c r="M41" s="110">
        <f>+'[21]Balança Com.Geográfica 2015'!$DN$17</f>
        <v>167.83037242464738</v>
      </c>
      <c r="N41" s="110">
        <f t="shared" si="3"/>
        <v>2001.0407382707865</v>
      </c>
      <c r="O41" s="110">
        <f>+'[21]Balança Com.Geográfica 2015'!$DQ$17</f>
        <v>34.191728298709066</v>
      </c>
      <c r="P41" s="110">
        <f>+'[21]Balança Com.Geográfica 2015'!$DR$17</f>
        <v>66.45276325083789</v>
      </c>
      <c r="Q41" s="110">
        <f>+'[21]Balança Com.Geográfica 2015'!$DS$17</f>
        <v>0</v>
      </c>
      <c r="R41" s="110">
        <f>+'[21]Balança Com.Geográfica 2015'!$DU$17</f>
        <v>0</v>
      </c>
      <c r="S41" s="110">
        <f>+'[21]Balança Com.Geográfica 2015'!$DV$17</f>
        <v>133.38316316778912</v>
      </c>
      <c r="T41" s="110">
        <f>+'[21]Balança Com.Geográfica 2015'!$DW$17</f>
        <v>94.707441343733279</v>
      </c>
      <c r="U41" s="110">
        <f>+'[21]Balança Com.Geográfica 2015'!$DY$17</f>
        <v>67.251682987558524</v>
      </c>
      <c r="V41" s="110">
        <f>+'[21]Balança Com.Geográfica 2015'!$DZ$17</f>
        <v>32.752097081594314</v>
      </c>
      <c r="W41" s="110">
        <f>+'[21]Balança Com.Geográfica 2015'!$EA$17</f>
        <v>188.55520000000001</v>
      </c>
      <c r="X41" s="110">
        <f>[14]Export_Geo!$B$10/1000</f>
        <v>101.05436335540216</v>
      </c>
      <c r="Y41" s="110">
        <v>0</v>
      </c>
      <c r="Z41" s="110">
        <f>+'[22]Balança Com.Geográfica 2016'!$EE$17</f>
        <v>159.33661933711042</v>
      </c>
      <c r="AA41" s="110">
        <f t="shared" si="4"/>
        <v>877.68505882273485</v>
      </c>
    </row>
    <row r="42" spans="1:27" ht="15.75" x14ac:dyDescent="0.25">
      <c r="A42" s="105" t="s">
        <v>71</v>
      </c>
      <c r="B42" s="110">
        <f>'[21]Balança Com.Geográfica 2015'!$CZ$18</f>
        <v>0</v>
      </c>
      <c r="C42" s="110">
        <f>'[21]Balança Com.Geográfica 2015'!$DA$18</f>
        <v>30.776954012436487</v>
      </c>
      <c r="D42" s="110">
        <f>'[21]Balança Com.Geográfica 2015'!$DB$18</f>
        <v>3.6655999524991971</v>
      </c>
      <c r="E42" s="110">
        <f>'[21]Balança Com.Geográfica 2015'!$DD$18</f>
        <v>362.25701203630086</v>
      </c>
      <c r="F42" s="110">
        <f>+'[21]Balança Com.Geográfica 2015'!$DE$18</f>
        <v>0</v>
      </c>
      <c r="G42" s="110">
        <f>+'[21]Balança Com.Geográfica 2015'!$DF$18</f>
        <v>182.74181588373924</v>
      </c>
      <c r="H42" s="110">
        <f>+'[21]Balança Com.Geográfica 2015'!$DH$18</f>
        <v>4.0080787408231693</v>
      </c>
      <c r="I42" s="110">
        <f>+'[21]Balança Com.Geográfica 2015'!$DI$18</f>
        <v>35.448373825963834</v>
      </c>
      <c r="J42" s="110">
        <f>+'[21]Balança Com.Geográfica 2015'!$DJ$18</f>
        <v>31.670262495505217</v>
      </c>
      <c r="K42" s="110">
        <f>+'[21]Balança Com.Geográfica 2015'!$DL$18</f>
        <v>0</v>
      </c>
      <c r="L42" s="110">
        <f>+'[21]Balança Com.Geográfica 2015'!$DM$18</f>
        <v>407.55950576106733</v>
      </c>
      <c r="M42" s="110">
        <f>+'[21]Balança Com.Geográfica 2015'!$DN$18</f>
        <v>300.35899574184702</v>
      </c>
      <c r="N42" s="110">
        <f t="shared" si="3"/>
        <v>1358.4865984501823</v>
      </c>
      <c r="O42" s="110">
        <f>+'[21]Balança Com.Geográfica 2015'!$DQ$18</f>
        <v>0</v>
      </c>
      <c r="P42" s="110">
        <f>+'[21]Balança Com.Geográfica 2015'!$DR$18</f>
        <v>0</v>
      </c>
      <c r="Q42" s="110">
        <f>+'[21]Balança Com.Geográfica 2015'!$DS$18</f>
        <v>12.000566427474194</v>
      </c>
      <c r="R42" s="110">
        <f>+'[21]Balança Com.Geográfica 2015'!$DU$18</f>
        <v>35.361183740398872</v>
      </c>
      <c r="S42" s="110">
        <f>+'[21]Balança Com.Geográfica 2015'!$DV$18</f>
        <v>0</v>
      </c>
      <c r="T42" s="110">
        <f>+'[21]Balança Com.Geográfica 2015'!$DW$18</f>
        <v>0</v>
      </c>
      <c r="U42" s="110">
        <f>+'[21]Balança Com.Geográfica 2015'!$DY$18</f>
        <v>6.8369991299385342</v>
      </c>
      <c r="V42" s="110">
        <f>+'[21]Balança Com.Geográfica 2015'!$DZ$18</f>
        <v>0</v>
      </c>
      <c r="W42" s="110">
        <f>+'[21]Balança Com.Geográfica 2015'!$EA$18</f>
        <v>44.317800000000005</v>
      </c>
      <c r="X42" s="110">
        <f>[14]Export_Geo!$B$12/1000</f>
        <v>18.579414284328465</v>
      </c>
      <c r="Y42" s="110">
        <f>+'[22]Balança Com.Geográfica 2016'!$ED$18</f>
        <v>185.48688795877766</v>
      </c>
      <c r="Z42" s="110">
        <f>+'[22]Balança Com.Geográfica 2016'!$EE$18</f>
        <v>163.17994062388053</v>
      </c>
      <c r="AA42" s="110">
        <f t="shared" si="4"/>
        <v>465.76279216479833</v>
      </c>
    </row>
    <row r="43" spans="1:27" ht="15.75" x14ac:dyDescent="0.25">
      <c r="A43" s="105" t="s">
        <v>72</v>
      </c>
      <c r="B43" s="110">
        <f>'[21]Balança Com.Geográfica 2015'!$CZ$11</f>
        <v>4.7256290214963617</v>
      </c>
      <c r="C43" s="110">
        <f>'[21]Balança Com.Geográfica 2015'!$DA$11</f>
        <v>0</v>
      </c>
      <c r="D43" s="110">
        <f>'[21]Balança Com.Geográfica 2015'!$DB$11</f>
        <v>2.8435503937021105</v>
      </c>
      <c r="E43" s="110">
        <f>'[21]Balança Com.Geográfica 2015'!$DD$11</f>
        <v>2.7697312577321664</v>
      </c>
      <c r="F43" s="110">
        <f>+'[21]Balança Com.Geográfica 2015'!$DE$11</f>
        <v>0</v>
      </c>
      <c r="G43" s="110">
        <f>+'[21]Balança Com.Geográfica 2015'!$DF$11</f>
        <v>0</v>
      </c>
      <c r="H43" s="110">
        <f>+'[21]Balança Com.Geográfica 2015'!$DH$11</f>
        <v>0</v>
      </c>
      <c r="I43" s="110">
        <f>+'[21]Balança Com.Geográfica 2015'!$DI$11</f>
        <v>0</v>
      </c>
      <c r="J43" s="110">
        <f>+'[21]Balança Com.Geográfica 2015'!$DJ$11</f>
        <v>6.9348127600554781</v>
      </c>
      <c r="K43" s="110">
        <f>+'[21]Balança Com.Geográfica 2015'!$DL$11</f>
        <v>0</v>
      </c>
      <c r="L43" s="110">
        <f>+'[21]Balança Com.Geográfica 2015'!$DM$11</f>
        <v>0</v>
      </c>
      <c r="M43" s="110">
        <f>+'[21]Balança Com.Geográfica 2015'!$DN$11</f>
        <v>0</v>
      </c>
      <c r="N43" s="110">
        <f t="shared" si="3"/>
        <v>17.273723432986117</v>
      </c>
      <c r="O43" s="110">
        <f>+'[22]Balança Com.Geográfica 2016'!$DQ$11</f>
        <v>1.8966136910852518</v>
      </c>
      <c r="P43" s="110">
        <f>+'[21]Balança Com.Geográfica 2015'!$DR$11</f>
        <v>6.3782131465382443</v>
      </c>
      <c r="Q43" s="110">
        <f>+'[21]Balança Com.Geográfica 2015'!$DS$11</f>
        <v>0</v>
      </c>
      <c r="R43" s="110">
        <f>+'[21]Balança Com.Geográfica 2015'!$DU$11</f>
        <v>0</v>
      </c>
      <c r="S43" s="110">
        <f>+'[21]Balança Com.Geográfica 2015'!$DV$11</f>
        <v>3.5593433267079746</v>
      </c>
      <c r="T43" s="110">
        <v>0</v>
      </c>
      <c r="U43" s="110">
        <f>+'[21]Balança Com.Geográfica 2015'!$DY$11</f>
        <v>2.2274999120137537</v>
      </c>
      <c r="V43" s="110">
        <f>+'[21]Balança Com.Geográfica 2015'!$DZ$11</f>
        <v>4.1824908277326287</v>
      </c>
      <c r="W43" s="110">
        <f>+'[21]Balança Com.Geográfica 2015'!$EA$11</f>
        <v>6.0493999999999994</v>
      </c>
      <c r="X43" s="110">
        <f>[14]Export_Geo!$B$13/1000</f>
        <v>12.658883903908853</v>
      </c>
      <c r="Y43" s="110">
        <f>+'[22]Balança Com.Geográfica 2016'!$ED$11</f>
        <v>11.730823775873985</v>
      </c>
      <c r="Z43" s="110">
        <v>0</v>
      </c>
      <c r="AA43" s="110">
        <f t="shared" si="4"/>
        <v>48.683268583860688</v>
      </c>
    </row>
    <row r="44" spans="1:27" ht="15.75" x14ac:dyDescent="0.25">
      <c r="A44" s="105" t="s">
        <v>76</v>
      </c>
      <c r="B44" s="110">
        <f>'[21]Balança Com.Geográfica 2015'!$CZ$13</f>
        <v>1.1037643330697176</v>
      </c>
      <c r="C44" s="110">
        <f>'[21]Balança Com.Geográfica 2015'!$DA$13</f>
        <v>9.7551131826296267</v>
      </c>
      <c r="D44" s="110">
        <f>'[21]Balança Com.Geográfica 2015'!$DB$13</f>
        <v>1.2603396867523733</v>
      </c>
      <c r="E44" s="110">
        <f>'[21]Balança Com.Geográfica 2015'!$DD$13</f>
        <v>0</v>
      </c>
      <c r="F44" s="110">
        <f>+'[21]Balança Com.Geográfica 2015'!$DE$13</f>
        <v>0</v>
      </c>
      <c r="G44" s="110">
        <f>+'[21]Balança Com.Geográfica 2015'!$DF$13</f>
        <v>0.68812251002869751</v>
      </c>
      <c r="H44" s="110">
        <f>+'[21]Balança Com.Geográfica 2015'!$DH$13</f>
        <v>4.5290576101617779</v>
      </c>
      <c r="I44" s="110">
        <f>+'[21]Balança Com.Geográfica 2015'!$DI$13</f>
        <v>5.1714542204842484</v>
      </c>
      <c r="J44" s="110">
        <f>+'[21]Balança Com.Geográfica 2015'!$DJ$13</f>
        <v>0</v>
      </c>
      <c r="K44" s="110">
        <f>+'[21]Balança Com.Geográfica 2015'!$DL$13</f>
        <v>0</v>
      </c>
      <c r="L44" s="110">
        <f>+'[21]Balança Com.Geográfica 2015'!$DM$13</f>
        <v>8.0515366383666862</v>
      </c>
      <c r="M44" s="110">
        <f>+'[21]Balança Com.Geográfica 2015'!$DN$13</f>
        <v>11.71975838969124</v>
      </c>
      <c r="N44" s="110">
        <f t="shared" si="3"/>
        <v>42.279146571184377</v>
      </c>
      <c r="O44" s="110">
        <f>+'[21]Balança Com.Geográfica 2015'!$DQ$13</f>
        <v>10.707761891530765</v>
      </c>
      <c r="P44" s="110">
        <f>+'[21]Balança Com.Geográfica 2015'!$DR$13</f>
        <v>0</v>
      </c>
      <c r="Q44" s="110">
        <f>+'[21]Balança Com.Geográfica 2015'!$DS$13</f>
        <v>0</v>
      </c>
      <c r="R44" s="110">
        <f>+'[21]Balança Com.Geográfica 2015'!$DU$13</f>
        <v>4.8831297024648022</v>
      </c>
      <c r="S44" s="110">
        <f>+'[21]Balança Com.Geográfica 2015'!$DV$13</f>
        <v>10.357684145351108</v>
      </c>
      <c r="T44" s="110">
        <f>+'[21]Balança Com.Geográfica 2015'!$DW$13</f>
        <v>1.1913011868082795</v>
      </c>
      <c r="U44" s="110">
        <f>+'[21]Balança Com.Geográfica 2015'!$DY$13</f>
        <v>0</v>
      </c>
      <c r="V44" s="110">
        <f>+'[21]Balança Com.Geográfica 2015'!$DZ$13</f>
        <v>0.45067030447736445</v>
      </c>
      <c r="W44" s="110">
        <f>+'[21]Balança Com.Geográfica 2015'!$EA$13</f>
        <v>2.4209000000000001</v>
      </c>
      <c r="X44" s="110">
        <f>[14]Export_Geo!$B$16/1000</f>
        <v>2.7781484505901739</v>
      </c>
      <c r="Y44" s="110">
        <f>+'[22]Balança Com.Geográfica 2016'!$ED$13</f>
        <v>5.7776116242408699</v>
      </c>
      <c r="Z44" s="110">
        <f>+'[22]Balança Com.Geográfica 2016'!$EE$13</f>
        <v>0.55010487199279667</v>
      </c>
      <c r="AA44" s="110">
        <f t="shared" si="4"/>
        <v>39.117312177456157</v>
      </c>
    </row>
    <row r="45" spans="1:27" ht="15.75" x14ac:dyDescent="0.25">
      <c r="A45" s="105" t="s">
        <v>15</v>
      </c>
      <c r="B45" s="110">
        <f>'[21]Balança Com.Geográfica 2015'!$CZ$19</f>
        <v>63.183821463911592</v>
      </c>
      <c r="C45" s="110">
        <f>'[21]Balança Com.Geográfica 2015'!$DA$19</f>
        <v>0</v>
      </c>
      <c r="D45" s="110">
        <f>'[21]Balança Com.Geográfica 2015'!$DB$19</f>
        <v>363.2278811785352</v>
      </c>
      <c r="E45" s="110">
        <f>'[21]Balança Com.Geográfica 2015'!$DD$19</f>
        <v>0</v>
      </c>
      <c r="F45" s="110">
        <f>+'[21]Balança Com.Geográfica 2015'!$DE$19</f>
        <v>444.85916077943614</v>
      </c>
      <c r="G45" s="110">
        <f>+'[21]Balança Com.Geográfica 2015'!$DF$19</f>
        <v>230.18195473034683</v>
      </c>
      <c r="H45" s="110">
        <f>+'[21]Balança Com.Geográfica 2015'!$DH$19</f>
        <v>113.06136790715269</v>
      </c>
      <c r="I45" s="110">
        <f>+'[21]Balança Com.Geográfica 2015'!$DI$19</f>
        <v>110.54239674770591</v>
      </c>
      <c r="J45" s="110">
        <f>+'[21]Balança Com.Geográfica 2015'!$DJ$19</f>
        <v>153.60671827676975</v>
      </c>
      <c r="K45" s="110">
        <f>+'[21]Balança Com.Geográfica 2015'!$DL$19</f>
        <v>449.83172717479698</v>
      </c>
      <c r="L45" s="110">
        <f>+'[21]Balança Com.Geográfica 2015'!$DM$19</f>
        <v>43.949773903375785</v>
      </c>
      <c r="M45" s="110">
        <f>+'[21]Balança Com.Geográfica 2015'!$DN$19</f>
        <v>227.23016499155318</v>
      </c>
      <c r="N45" s="110">
        <f t="shared" si="3"/>
        <v>2199.674967153584</v>
      </c>
      <c r="O45" s="110">
        <f>+'[21]Balança Com.Geográfica 2015'!$DQ$19</f>
        <v>0</v>
      </c>
      <c r="P45" s="110">
        <f>+'[21]Balança Com.Geográfica 2015'!$DR$19</f>
        <v>0</v>
      </c>
      <c r="Q45" s="110">
        <f>+'[21]Balança Com.Geográfica 2015'!$DS$19</f>
        <v>112.64780216904782</v>
      </c>
      <c r="R45" s="110">
        <f>+'[21]Balança Com.Geográfica 2015'!$DU$19</f>
        <v>0</v>
      </c>
      <c r="S45" s="110">
        <f>+'[21]Balança Com.Geográfica 2015'!$DV$19</f>
        <v>0</v>
      </c>
      <c r="T45" s="110">
        <f>+'[21]Balança Com.Geográfica 2015'!$DW$19</f>
        <v>177.08263273477823</v>
      </c>
      <c r="U45" s="110">
        <f>+'[21]Balança Com.Geográfica 2015'!$DY$19</f>
        <v>34.381461141932292</v>
      </c>
      <c r="V45" s="110">
        <f>+'[21]Balança Com.Geográfica 2015'!$DZ$19</f>
        <v>133.36713360616915</v>
      </c>
      <c r="W45" s="110">
        <f>+'[21]Balança Com.Geográfica 2015'!$EA$19</f>
        <v>301.05720000000002</v>
      </c>
      <c r="X45" s="110">
        <f>[14]Export_Geo!$B$17/1000</f>
        <v>935.70880131092167</v>
      </c>
      <c r="Y45" s="110">
        <f>+'[22]Balança Com.Geográfica 2016'!$ED$19</f>
        <v>1059.4371730486182</v>
      </c>
      <c r="Z45" s="110">
        <f>+'[22]Balança Com.Geográfica 2016'!$EE$19</f>
        <v>520.71008505061411</v>
      </c>
      <c r="AA45" s="110">
        <f t="shared" si="4"/>
        <v>3274.3922890620815</v>
      </c>
    </row>
    <row r="46" spans="1:27" ht="15.75" x14ac:dyDescent="0.25">
      <c r="A46" s="105" t="s">
        <v>2</v>
      </c>
      <c r="B46" s="110">
        <f>'[21]Balança Com.Geográfica 2015'!$CZ$20</f>
        <v>21.238925794475765</v>
      </c>
      <c r="C46" s="110">
        <f>'[21]Balança Com.Geográfica 2015'!$DA$20</f>
        <v>0.16590828147777825</v>
      </c>
      <c r="D46" s="110">
        <f>'[21]Balança Com.Geográfica 2015'!$DB$20</f>
        <v>0.7590252924968337</v>
      </c>
      <c r="E46" s="110">
        <f>'[21]Balança Com.Geográfica 2015'!$DD$20</f>
        <v>0.92149798257251514</v>
      </c>
      <c r="F46" s="110">
        <f>+'[21]Balança Com.Geográfica 2015'!$DE$20</f>
        <v>28.252860751431278</v>
      </c>
      <c r="G46" s="110">
        <f>+'[21]Balança Com.Geográfica 2015'!$DF$20</f>
        <v>0.20230801794843709</v>
      </c>
      <c r="H46" s="110">
        <f>+'[21]Balança Com.Geográfica 2015'!$DH$20</f>
        <v>45.80848070154827</v>
      </c>
      <c r="I46" s="110">
        <f>+'[21]Balança Com.Geográfica 2015'!$DI$20</f>
        <v>1.1271395002475064</v>
      </c>
      <c r="J46" s="110">
        <f>+'[21]Balança Com.Geográfica 2015'!$DJ$20</f>
        <v>10.59144570141202</v>
      </c>
      <c r="K46" s="110">
        <f>+'[21]Balança Com.Geográfica 2015'!$DL$20</f>
        <v>0.54118530626670502</v>
      </c>
      <c r="L46" s="110">
        <f>+'[21]Balança Com.Geográfica 2015'!$DM$20</f>
        <v>2.4514857489387509</v>
      </c>
      <c r="M46" s="110">
        <f>+'[21]Balança Com.Geográfica 2015'!$DN$20</f>
        <v>0.98516970866874354</v>
      </c>
      <c r="N46" s="110">
        <f t="shared" si="3"/>
        <v>113.04543278748461</v>
      </c>
      <c r="O46" s="110">
        <f>+'[22]Balança Com.Geográfica 2016'!$DQ$20</f>
        <v>3.9183327627687143</v>
      </c>
      <c r="P46" s="110">
        <f>+'[21]Balança Com.Geográfica 2015'!$DR$20</f>
        <v>84.925573832009462</v>
      </c>
      <c r="Q46" s="110">
        <f>+'[21]Balança Com.Geográfica 2015'!$DS$20</f>
        <v>4.5855998128326609</v>
      </c>
      <c r="R46" s="110">
        <f>+'[21]Balança Com.Geográfica 2015'!$DU$20</f>
        <v>40.504514497009303</v>
      </c>
      <c r="S46" s="110">
        <f>+'[21]Balança Com.Geográfica 2015'!$DV$20</f>
        <v>25.558459446969461</v>
      </c>
      <c r="T46" s="110">
        <f>+'[22]Balança Com.Geográfica 2016'!$DW$20</f>
        <v>1.3342573292252731</v>
      </c>
      <c r="U46" s="110">
        <f>+'[21]Balança Com.Geográfica 2015'!$DY$20</f>
        <v>42.711197062907722</v>
      </c>
      <c r="V46" s="110">
        <f>+'[21]Balança Com.Geográfica 2015'!$DZ$20</f>
        <v>0.55207112298477146</v>
      </c>
      <c r="W46" s="110">
        <f>+'[21]Balança Com.Geográfica 2015'!$EA$20</f>
        <v>121.9802</v>
      </c>
      <c r="X46" s="110">
        <f>[14]Export_Geo!$B$18/1000</f>
        <v>0.66948823317500916</v>
      </c>
      <c r="Y46" s="110">
        <f>+'[22]Balança Com.Geográfica 2016'!$ED$20</f>
        <v>77.375744314106868</v>
      </c>
      <c r="Z46" s="110">
        <f>+'[22]Balança Com.Geográfica 2016'!$EE$20</f>
        <v>60.572509543219311</v>
      </c>
      <c r="AA46" s="110">
        <f t="shared" si="4"/>
        <v>464.68794795720862</v>
      </c>
    </row>
    <row r="47" spans="1:27" ht="15.75" x14ac:dyDescent="0.25">
      <c r="A47" s="105" t="s">
        <v>70</v>
      </c>
      <c r="B47" s="110">
        <f>'[21]Balança Com.Geográfica 2015'!$CZ$23</f>
        <v>0</v>
      </c>
      <c r="C47" s="110">
        <f>'[21]Balança Com.Geográfica 2015'!$DA$23</f>
        <v>0</v>
      </c>
      <c r="D47" s="110">
        <f>'[21]Balança Com.Geográfica 2015'!$DB$23</f>
        <v>0</v>
      </c>
      <c r="E47" s="110">
        <f>'[21]Balança Com.Geográfica 2015'!$DD$23</f>
        <v>12.812217256600771</v>
      </c>
      <c r="F47" s="110">
        <f>+'[21]Balança Com.Geográfica 2015'!$DE$23</f>
        <v>12.437427586924921</v>
      </c>
      <c r="G47" s="110">
        <f>+'[21]Balança Com.Geográfica 2015'!$DF$23</f>
        <v>0</v>
      </c>
      <c r="H47" s="110">
        <f>+'[21]Balança Com.Geográfica 2015'!$DH$23</f>
        <v>10.02154184492397</v>
      </c>
      <c r="I47" s="110">
        <f>+'[21]Balança Com.Geográfica 2015'!$DI$23</f>
        <v>0</v>
      </c>
      <c r="J47" s="110">
        <f>+'[21]Balança Com.Geográfica 2015'!$DJ$23</f>
        <v>10.005393743257821</v>
      </c>
      <c r="K47" s="110">
        <f>+'[21]Balança Com.Geográfica 2015'!$DL$23</f>
        <v>9.0805860109634349</v>
      </c>
      <c r="L47" s="110">
        <f>+'[21]Balança Com.Geográfica 2015'!$DM$23</f>
        <v>14.741105720638773</v>
      </c>
      <c r="M47" s="110">
        <f>+'[21]Balança Com.Geográfica 2015'!$DN$23</f>
        <v>0</v>
      </c>
      <c r="N47" s="110">
        <f t="shared" si="3"/>
        <v>69.098272163309687</v>
      </c>
      <c r="O47" s="110">
        <f>+'[21]Balança Com.Geográfica 2015'!$DQ$23</f>
        <v>10.063598198596315</v>
      </c>
      <c r="P47" s="110">
        <f>+'[21]Balança Com.Geográfica 2015'!$DR$23</f>
        <v>0</v>
      </c>
      <c r="Q47" s="110">
        <f>+'[21]Balança Com.Geográfica 2015'!$DS$23</f>
        <v>8.819953023460565</v>
      </c>
      <c r="R47" s="110">
        <f>+'[21]Balança Com.Geográfica 2015'!$DU$23</f>
        <v>0</v>
      </c>
      <c r="S47" s="110">
        <f>+'[21]Balança Com.Geográfica 2015'!$DV$23</f>
        <v>10.686823910517273</v>
      </c>
      <c r="T47" s="110">
        <f>+'[21]Balança Com.Geográfica 2015'!$DW$23</f>
        <v>0</v>
      </c>
      <c r="U47" s="110">
        <f>+'[21]Balança Com.Geográfica 2015'!$DY$23</f>
        <v>9.2349696102187</v>
      </c>
      <c r="V47" s="110">
        <f>+'[21]Balança Com.Geográfica 2015'!$DZ$23</f>
        <v>0</v>
      </c>
      <c r="W47" s="110">
        <f>+'[21]Balança Com.Geográfica 2015'!$EA$23</f>
        <v>0</v>
      </c>
      <c r="X47" s="110">
        <f>[14]Export_Geo!$B$11/1000</f>
        <v>13.916428740264525</v>
      </c>
      <c r="Y47" s="110">
        <f>+'[22]Balança Com.Geográfica 2016'!$ED$23</f>
        <v>0</v>
      </c>
      <c r="Z47" s="110">
        <f>+'[22]Balança Com.Geográfica 2016'!$EE$23</f>
        <v>18.234265460367364</v>
      </c>
      <c r="AA47" s="110">
        <f t="shared" si="4"/>
        <v>70.956038943424744</v>
      </c>
    </row>
    <row r="48" spans="1:27" ht="15.75" x14ac:dyDescent="0.25">
      <c r="A48" s="105" t="s">
        <v>87</v>
      </c>
      <c r="B48" s="110">
        <f>'[21]Balança Com.Geográfica 2015'!$CZ$24</f>
        <v>130.67691383077414</v>
      </c>
      <c r="C48" s="110">
        <f>'[21]Balança Com.Geográfica 2015'!$DA$24</f>
        <v>282.42460829054744</v>
      </c>
      <c r="D48" s="110">
        <f>'[21]Balança Com.Geográfica 2015'!$DB$24</f>
        <v>39.743500372220318</v>
      </c>
      <c r="E48" s="110">
        <f>'[21]Balança Com.Geográfica 2015'!$DD$24</f>
        <v>159.32199009946973</v>
      </c>
      <c r="F48" s="110">
        <f>+'[21]Balança Com.Geográfica 2015'!$DE$24</f>
        <v>95.369655518370465</v>
      </c>
      <c r="G48" s="110">
        <f>+'[21]Balança Com.Geográfica 2015'!$DF$24</f>
        <v>225.79567804013902</v>
      </c>
      <c r="H48" s="110">
        <f>+'[21]Balança Com.Geográfica 2015'!$DH$24</f>
        <v>6.9710980247270085</v>
      </c>
      <c r="I48" s="110">
        <f>+'[21]Balança Com.Geográfica 2015'!$DI$24</f>
        <v>58.081557827708522</v>
      </c>
      <c r="J48" s="110">
        <f>+'[21]Balança Com.Geográfica 2015'!$DJ$24</f>
        <v>122.56399301591493</v>
      </c>
      <c r="K48" s="110">
        <f>+'[21]Balança Com.Geográfica 2015'!$DL$24</f>
        <v>148.06092652362801</v>
      </c>
      <c r="L48" s="110">
        <f>+'[21]Balança Com.Geográfica 2015'!$DM$24</f>
        <v>388.06623691125935</v>
      </c>
      <c r="M48" s="110">
        <f>+'[21]Balança Com.Geográfica 2015'!$DN$24</f>
        <v>112.77958156410253</v>
      </c>
      <c r="N48" s="110">
        <f t="shared" si="3"/>
        <v>1769.8557400188613</v>
      </c>
      <c r="O48" s="110">
        <f>+'[22]Balança Com.Geográfica 2016'!$DQ$24</f>
        <v>9.589523580123867</v>
      </c>
      <c r="P48" s="110">
        <f>+'[21]Balança Com.Geográfica 2015'!$DR$24</f>
        <v>39.807242387229451</v>
      </c>
      <c r="Q48" s="110">
        <f>+'[21]Balança Com.Geográfica 2015'!$DS$24</f>
        <v>29.55629132490817</v>
      </c>
      <c r="R48" s="110">
        <f>+'[21]Balança Com.Geográfica 2015'!$DU$24</f>
        <v>169.71605036773889</v>
      </c>
      <c r="S48" s="110">
        <f>+'[21]Balança Com.Geográfica 2015'!$DV$24</f>
        <v>26.060565952234604</v>
      </c>
      <c r="T48" s="110">
        <f>+'[22]Balança Com.Geográfica 2016'!$DW$24</f>
        <v>185.98853328359365</v>
      </c>
      <c r="U48" s="110">
        <f>+'[21]Balança Com.Geográfica 2015'!$DY$24</f>
        <v>46.439227654500506</v>
      </c>
      <c r="V48" s="110">
        <f>+'[21]Balança Com.Geográfica 2015'!$DZ$24</f>
        <v>7.5978270480599326</v>
      </c>
      <c r="W48" s="110">
        <f>+'[22]Balança Com.Geográfica 2016'!$EA$24</f>
        <v>368.55868332757461</v>
      </c>
      <c r="X48" s="110">
        <f>[14]Export_Geo!$B$22/1000</f>
        <v>195.30207741743322</v>
      </c>
      <c r="Y48" s="110">
        <f>+'[22]Balança Com.Geográfica 2016'!$ED$24</f>
        <v>339.39354990226855</v>
      </c>
      <c r="Z48" s="110">
        <f>+'[22]Balança Com.Geográfica 2016'!$EE$24</f>
        <v>4.5693471003312069</v>
      </c>
      <c r="AA48" s="110">
        <f t="shared" si="4"/>
        <v>1422.5789193459968</v>
      </c>
    </row>
    <row r="49" spans="1:27" ht="15.75" x14ac:dyDescent="0.25">
      <c r="A49" s="105" t="s">
        <v>88</v>
      </c>
      <c r="B49" s="113">
        <f t="shared" ref="B49:AA49" si="5">SUM(B38:B48)</f>
        <v>297.13121660767962</v>
      </c>
      <c r="C49" s="113">
        <f t="shared" si="5"/>
        <v>787.94001829415311</v>
      </c>
      <c r="D49" s="113">
        <f t="shared" si="5"/>
        <v>523.65634065693382</v>
      </c>
      <c r="E49" s="113">
        <f t="shared" si="5"/>
        <v>927.79836300489558</v>
      </c>
      <c r="F49" s="113">
        <f t="shared" si="5"/>
        <v>823.82205243639214</v>
      </c>
      <c r="G49" s="113">
        <f t="shared" si="5"/>
        <v>1213.1835030610443</v>
      </c>
      <c r="H49" s="113">
        <f t="shared" si="5"/>
        <v>574.5949512810646</v>
      </c>
      <c r="I49" s="113">
        <f t="shared" si="5"/>
        <v>232.7793097026306</v>
      </c>
      <c r="J49" s="113">
        <f t="shared" si="5"/>
        <v>815.66793186376094</v>
      </c>
      <c r="K49" s="113">
        <f t="shared" si="5"/>
        <v>1170.4133964810369</v>
      </c>
      <c r="L49" s="113">
        <f t="shared" si="5"/>
        <v>1886.7424552253892</v>
      </c>
      <c r="M49" s="113">
        <f t="shared" si="5"/>
        <v>1011.6244668559511</v>
      </c>
      <c r="N49" s="113">
        <f>SUM(N38:N48)</f>
        <v>10265.354005470932</v>
      </c>
      <c r="O49" s="113">
        <f t="shared" si="5"/>
        <v>186.55031573876425</v>
      </c>
      <c r="P49" s="113">
        <f t="shared" si="5"/>
        <v>276.30933642798539</v>
      </c>
      <c r="Q49" s="113">
        <f t="shared" si="5"/>
        <v>181.68294503586569</v>
      </c>
      <c r="R49" s="113">
        <f t="shared" si="5"/>
        <v>613.47205345631846</v>
      </c>
      <c r="S49" s="113">
        <f t="shared" si="5"/>
        <v>496.06419474966464</v>
      </c>
      <c r="T49" s="113">
        <f t="shared" si="5"/>
        <v>811.92207769280571</v>
      </c>
      <c r="U49" s="113">
        <f t="shared" si="5"/>
        <v>352.33466168063086</v>
      </c>
      <c r="V49" s="113">
        <f t="shared" si="5"/>
        <v>191.07038821190702</v>
      </c>
      <c r="W49" s="113">
        <f t="shared" si="5"/>
        <v>1326.72819287312</v>
      </c>
      <c r="X49" s="113">
        <f t="shared" si="5"/>
        <v>1791.7220362735102</v>
      </c>
      <c r="Y49" s="113">
        <f t="shared" si="5"/>
        <v>1838.0805363767317</v>
      </c>
      <c r="Z49" s="113">
        <f t="shared" si="5"/>
        <v>1010.572535112094</v>
      </c>
      <c r="AA49" s="113">
        <f t="shared" si="5"/>
        <v>9076.5092736293991</v>
      </c>
    </row>
    <row r="50" spans="1:27" x14ac:dyDescent="0.25">
      <c r="A50" s="120"/>
    </row>
    <row r="51" spans="1:27" x14ac:dyDescent="0.25">
      <c r="A51" s="89"/>
      <c r="N51" s="138">
        <f>+N49-'[22]Balança Com.Geográfica 2016'!$DP$5</f>
        <v>0</v>
      </c>
      <c r="O51" s="138">
        <f>+O49-'[22]Balança Com.Geográfica 2016'!$DQ$5</f>
        <v>0</v>
      </c>
      <c r="T51" s="138">
        <f>+T49-'[22]Balança Com.Geográfica 2016'!$DW$5</f>
        <v>0</v>
      </c>
      <c r="W51" s="138">
        <f>+W49-'[22]Balança Com.Geográfica 2016'!$EA$5</f>
        <v>-5.3574353842122946E-6</v>
      </c>
      <c r="AA51" s="138">
        <f>+AA49-'[22]Balança Com.Geográfica 2016'!$EG$5</f>
        <v>-5.3574331104755402E-6</v>
      </c>
    </row>
    <row r="53" spans="1:27" ht="15.75" x14ac:dyDescent="0.25">
      <c r="A53" s="105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5.75" x14ac:dyDescent="0.25">
      <c r="A54" s="105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5.75" x14ac:dyDescent="0.25">
      <c r="A55" s="105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5.75" x14ac:dyDescent="0.25">
      <c r="A56" s="105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5.75" x14ac:dyDescent="0.25">
      <c r="A57" s="105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5.75" x14ac:dyDescent="0.25">
      <c r="A58" s="105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5.75" x14ac:dyDescent="0.25">
      <c r="A59" s="105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5.75" x14ac:dyDescent="0.25">
      <c r="A60" s="105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  <row r="61" spans="1:27" ht="15.75" x14ac:dyDescent="0.25">
      <c r="A61" s="105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</row>
    <row r="62" spans="1:27" ht="15.75" x14ac:dyDescent="0.25">
      <c r="A62" s="105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</row>
    <row r="63" spans="1:27" ht="15.75" x14ac:dyDescent="0.25">
      <c r="A63" s="105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</row>
    <row r="64" spans="1:27" ht="15.75" x14ac:dyDescent="0.25">
      <c r="A64" s="105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</row>
    <row r="65" spans="1:27" ht="15.75" x14ac:dyDescent="0.25">
      <c r="A65" s="105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</row>
    <row r="66" spans="1:27" ht="15.75" x14ac:dyDescent="0.25">
      <c r="A66" s="105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</row>
    <row r="67" spans="1:27" ht="15.75" x14ac:dyDescent="0.25">
      <c r="A67" s="105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5.75" x14ac:dyDescent="0.25">
      <c r="A68" s="105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5.75" x14ac:dyDescent="0.25">
      <c r="A69" s="105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5.75" x14ac:dyDescent="0.25">
      <c r="A70" s="105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5.75" x14ac:dyDescent="0.25">
      <c r="A71" s="105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5.75" x14ac:dyDescent="0.25">
      <c r="A72" s="105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5.75" x14ac:dyDescent="0.25">
      <c r="A73" s="105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5.75" x14ac:dyDescent="0.25">
      <c r="A74" s="105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5.75" x14ac:dyDescent="0.25">
      <c r="A75" s="105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5.75" x14ac:dyDescent="0.25">
      <c r="A76" s="105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5.75" x14ac:dyDescent="0.25">
      <c r="A77" s="105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  <row r="78" spans="1:27" ht="15.75" x14ac:dyDescent="0.25">
      <c r="A78" s="105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</row>
    <row r="79" spans="1:27" ht="15.75" x14ac:dyDescent="0.25">
      <c r="A79" s="105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</row>
    <row r="80" spans="1:27" ht="15.75" x14ac:dyDescent="0.25">
      <c r="A80" s="105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</row>
    <row r="81" spans="1:27" ht="15.75" x14ac:dyDescent="0.25">
      <c r="A81" s="105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</row>
    <row r="82" spans="1:27" ht="15.75" x14ac:dyDescent="0.25">
      <c r="A82" s="93"/>
    </row>
    <row r="83" spans="1:27" ht="15.75" x14ac:dyDescent="0.25">
      <c r="A83" s="93"/>
    </row>
    <row r="85" spans="1:27" ht="15.75" x14ac:dyDescent="0.25"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</row>
    <row r="86" spans="1:27" ht="15.75" x14ac:dyDescent="0.25">
      <c r="A86" s="105" t="s">
        <v>64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</row>
    <row r="87" spans="1:27" ht="15.75" x14ac:dyDescent="0.25">
      <c r="A87" s="105" t="s">
        <v>65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</row>
    <row r="88" spans="1:27" ht="15.75" x14ac:dyDescent="0.25">
      <c r="A88" s="105" t="s">
        <v>66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</row>
    <row r="89" spans="1:27" ht="15.75" x14ac:dyDescent="0.25">
      <c r="A89" s="105" t="s">
        <v>67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</row>
    <row r="90" spans="1:27" ht="15.75" x14ac:dyDescent="0.25">
      <c r="A90" s="105" t="s">
        <v>68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</row>
    <row r="91" spans="1:27" ht="15.75" x14ac:dyDescent="0.25">
      <c r="A91" s="105" t="s">
        <v>0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</row>
    <row r="92" spans="1:27" ht="15.75" x14ac:dyDescent="0.25">
      <c r="A92" s="105" t="s">
        <v>69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</row>
    <row r="93" spans="1:27" ht="15.75" x14ac:dyDescent="0.25">
      <c r="A93" s="105" t="s">
        <v>1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</row>
    <row r="94" spans="1:27" ht="15.75" x14ac:dyDescent="0.25">
      <c r="A94" s="105" t="s">
        <v>70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</row>
    <row r="95" spans="1:27" ht="15.75" x14ac:dyDescent="0.25">
      <c r="A95" s="105" t="s">
        <v>71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</row>
    <row r="96" spans="1:27" ht="15.75" x14ac:dyDescent="0.25">
      <c r="A96" s="105" t="s">
        <v>72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</row>
    <row r="97" spans="1:27" ht="15.75" x14ac:dyDescent="0.25">
      <c r="A97" s="105" t="s">
        <v>73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</row>
    <row r="98" spans="1:27" ht="15.75" x14ac:dyDescent="0.25">
      <c r="A98" s="105" t="s">
        <v>74</v>
      </c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</row>
    <row r="99" spans="1:27" ht="15.75" x14ac:dyDescent="0.25">
      <c r="A99" s="105" t="s">
        <v>75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</row>
    <row r="100" spans="1:27" ht="15.75" x14ac:dyDescent="0.25">
      <c r="A100" s="105" t="s">
        <v>76</v>
      </c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</row>
    <row r="101" spans="1:27" ht="15.75" x14ac:dyDescent="0.25">
      <c r="A101" s="105" t="s">
        <v>77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</row>
    <row r="102" spans="1:27" ht="15.75" x14ac:dyDescent="0.25">
      <c r="A102" s="105" t="s">
        <v>15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</row>
    <row r="103" spans="1:27" ht="15.75" x14ac:dyDescent="0.25">
      <c r="A103" s="105" t="s">
        <v>2</v>
      </c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</row>
    <row r="104" spans="1:27" ht="15.75" x14ac:dyDescent="0.25">
      <c r="A104" s="105" t="s">
        <v>78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</row>
    <row r="105" spans="1:27" ht="15.75" x14ac:dyDescent="0.25">
      <c r="A105" s="105" t="s">
        <v>79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</row>
    <row r="106" spans="1:27" ht="15.75" x14ac:dyDescent="0.25">
      <c r="A106" s="105" t="s">
        <v>80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</row>
    <row r="107" spans="1:27" ht="15.75" x14ac:dyDescent="0.25">
      <c r="A107" s="105" t="s">
        <v>81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</row>
    <row r="108" spans="1:27" ht="15.75" x14ac:dyDescent="0.25">
      <c r="A108" s="105" t="s">
        <v>82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</row>
    <row r="109" spans="1:27" ht="15.75" x14ac:dyDescent="0.25">
      <c r="A109" s="105" t="s">
        <v>83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</row>
    <row r="110" spans="1:27" ht="15.75" x14ac:dyDescent="0.25">
      <c r="A110" s="105" t="s">
        <v>84</v>
      </c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</row>
    <row r="111" spans="1:27" ht="15.75" x14ac:dyDescent="0.25">
      <c r="A111" s="105" t="s">
        <v>85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</row>
    <row r="112" spans="1:27" ht="15.75" x14ac:dyDescent="0.25">
      <c r="A112" s="105" t="s">
        <v>86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</row>
    <row r="113" spans="1:27" ht="15.75" x14ac:dyDescent="0.25">
      <c r="A113" s="133" t="s">
        <v>87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</row>
    <row r="117" spans="1:27" ht="15.75" x14ac:dyDescent="0.25">
      <c r="A117" s="105"/>
    </row>
    <row r="118" spans="1:27" ht="15.75" x14ac:dyDescent="0.25">
      <c r="A118" s="105"/>
    </row>
    <row r="119" spans="1:27" ht="15.75" x14ac:dyDescent="0.25">
      <c r="A119" s="105"/>
    </row>
    <row r="120" spans="1:27" ht="15.75" x14ac:dyDescent="0.25">
      <c r="A120" s="105"/>
    </row>
    <row r="121" spans="1:27" ht="15.75" x14ac:dyDescent="0.25">
      <c r="A121" s="105"/>
    </row>
    <row r="122" spans="1:27" ht="15.75" x14ac:dyDescent="0.25">
      <c r="A122" s="105"/>
    </row>
    <row r="123" spans="1:27" ht="15.75" x14ac:dyDescent="0.25">
      <c r="A123" s="105"/>
    </row>
    <row r="124" spans="1:27" ht="15.75" x14ac:dyDescent="0.25">
      <c r="A124" s="105"/>
    </row>
    <row r="125" spans="1:27" ht="15.75" x14ac:dyDescent="0.25">
      <c r="A125" s="105"/>
    </row>
    <row r="126" spans="1:27" ht="15.75" x14ac:dyDescent="0.25">
      <c r="A126" s="105"/>
    </row>
    <row r="127" spans="1:27" ht="15.75" x14ac:dyDescent="0.25">
      <c r="A127" s="105"/>
    </row>
    <row r="128" spans="1:27" ht="15.75" x14ac:dyDescent="0.25">
      <c r="A128" s="105"/>
    </row>
    <row r="129" spans="1:1" ht="15.75" x14ac:dyDescent="0.25">
      <c r="A129" s="105"/>
    </row>
    <row r="130" spans="1:1" ht="15.75" x14ac:dyDescent="0.25">
      <c r="A130" s="105"/>
    </row>
    <row r="131" spans="1:1" ht="15.75" x14ac:dyDescent="0.25">
      <c r="A131" s="105"/>
    </row>
    <row r="132" spans="1:1" ht="15.75" x14ac:dyDescent="0.25">
      <c r="A132" s="105"/>
    </row>
    <row r="133" spans="1:1" ht="15.75" x14ac:dyDescent="0.25">
      <c r="A133" s="105"/>
    </row>
    <row r="134" spans="1:1" ht="15.75" x14ac:dyDescent="0.25">
      <c r="A134" s="105"/>
    </row>
    <row r="135" spans="1:1" ht="15.75" x14ac:dyDescent="0.25">
      <c r="A135" s="105"/>
    </row>
    <row r="136" spans="1:1" ht="15.75" x14ac:dyDescent="0.25">
      <c r="A136" s="105"/>
    </row>
    <row r="137" spans="1:1" ht="15.75" x14ac:dyDescent="0.25">
      <c r="A137" s="105"/>
    </row>
    <row r="138" spans="1:1" ht="15.75" x14ac:dyDescent="0.25">
      <c r="A138" s="105"/>
    </row>
    <row r="139" spans="1:1" ht="15.75" x14ac:dyDescent="0.25">
      <c r="A139" s="105"/>
    </row>
    <row r="140" spans="1:1" ht="15.75" x14ac:dyDescent="0.25">
      <c r="A140" s="105"/>
    </row>
    <row r="141" spans="1:1" ht="15.75" x14ac:dyDescent="0.25">
      <c r="A141" s="105"/>
    </row>
    <row r="142" spans="1:1" ht="15.75" x14ac:dyDescent="0.25">
      <c r="A142" s="105"/>
    </row>
    <row r="143" spans="1:1" ht="15.75" x14ac:dyDescent="0.25">
      <c r="A143" s="105"/>
    </row>
    <row r="144" spans="1:1" ht="15.75" x14ac:dyDescent="0.25">
      <c r="A144" s="133"/>
    </row>
    <row r="146" spans="1:1" ht="15.75" x14ac:dyDescent="0.25">
      <c r="A146" s="105"/>
    </row>
    <row r="147" spans="1:1" ht="15.75" x14ac:dyDescent="0.25">
      <c r="A147" s="105"/>
    </row>
    <row r="148" spans="1:1" ht="15.75" x14ac:dyDescent="0.25">
      <c r="A148" s="105"/>
    </row>
    <row r="149" spans="1:1" ht="15.75" x14ac:dyDescent="0.25">
      <c r="A149" s="105"/>
    </row>
    <row r="150" spans="1:1" ht="15.75" x14ac:dyDescent="0.25">
      <c r="A150" s="105"/>
    </row>
    <row r="151" spans="1:1" ht="15.75" x14ac:dyDescent="0.25">
      <c r="A151" s="105"/>
    </row>
  </sheetData>
  <conditionalFormatting sqref="B86:AA113">
    <cfRule type="cellIs" dxfId="3" priority="1" operator="greaterThan">
      <formula>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AM151"/>
  <sheetViews>
    <sheetView topLeftCell="A82" zoomScale="90" zoomScaleNormal="90" zoomScalePageLayoutView="90" workbookViewId="0">
      <pane xSplit="1" topLeftCell="B1" activePane="topRight" state="frozen"/>
      <selection pane="topRight" activeCell="U104" sqref="U104"/>
    </sheetView>
  </sheetViews>
  <sheetFormatPr defaultColWidth="8.85546875" defaultRowHeight="15" x14ac:dyDescent="0.25"/>
  <cols>
    <col min="1" max="1" width="38.28515625" style="117" customWidth="1"/>
    <col min="2" max="2" width="11.85546875" style="117" customWidth="1"/>
    <col min="3" max="3" width="12.42578125" style="117" customWidth="1"/>
    <col min="4" max="4" width="11.140625" style="117" customWidth="1"/>
    <col min="5" max="5" width="10.85546875" style="117" bestFit="1" customWidth="1"/>
    <col min="6" max="6" width="14" style="117" customWidth="1"/>
    <col min="7" max="7" width="12" style="117" customWidth="1"/>
    <col min="8" max="8" width="12.28515625" style="117" customWidth="1"/>
    <col min="9" max="9" width="11.28515625" style="117" customWidth="1"/>
    <col min="10" max="10" width="11" style="117" customWidth="1"/>
    <col min="11" max="11" width="13.140625" style="117" customWidth="1"/>
    <col min="12" max="12" width="12.140625" style="117" bestFit="1" customWidth="1"/>
    <col min="13" max="13" width="11.7109375" style="2" customWidth="1"/>
    <col min="14" max="14" width="12" style="2" customWidth="1"/>
    <col min="15" max="15" width="12.140625" style="2" customWidth="1"/>
    <col min="16" max="17" width="12.140625" style="2" bestFit="1" customWidth="1"/>
    <col min="18" max="18" width="13.7109375" style="2" customWidth="1"/>
    <col min="19" max="22" width="11.42578125" style="2" customWidth="1"/>
    <col min="23" max="24" width="8.85546875" style="2"/>
    <col min="25" max="25" width="10.7109375" style="2" customWidth="1"/>
    <col min="26" max="37" width="12.7109375" style="2" bestFit="1" customWidth="1"/>
    <col min="38" max="16384" width="8.85546875" style="2"/>
  </cols>
  <sheetData>
    <row r="1" spans="1:22" ht="18" x14ac:dyDescent="0.25">
      <c r="A1" s="89" t="s">
        <v>44</v>
      </c>
      <c r="B1" s="90" t="s">
        <v>45</v>
      </c>
      <c r="C1" s="90"/>
      <c r="D1" s="91"/>
      <c r="E1" s="91"/>
      <c r="F1" s="89"/>
      <c r="G1" s="89"/>
      <c r="H1" s="89"/>
      <c r="I1" s="89"/>
      <c r="J1" s="89"/>
      <c r="K1" s="89"/>
      <c r="L1" s="89"/>
    </row>
    <row r="2" spans="1:22" ht="18" x14ac:dyDescent="0.25">
      <c r="A2" s="89"/>
      <c r="B2" s="92" t="s">
        <v>46</v>
      </c>
      <c r="C2" s="92"/>
      <c r="D2" s="93"/>
      <c r="E2" s="94"/>
      <c r="F2" s="89"/>
      <c r="G2" s="89"/>
      <c r="H2" s="89"/>
      <c r="I2" s="89"/>
      <c r="J2" s="89"/>
      <c r="K2" s="89"/>
      <c r="L2" s="89"/>
    </row>
    <row r="3" spans="1:22" ht="15.75" x14ac:dyDescent="0.25">
      <c r="A3" s="95"/>
      <c r="B3" s="91" t="s">
        <v>47</v>
      </c>
      <c r="C3" s="91"/>
      <c r="D3" s="89"/>
      <c r="E3" s="89"/>
      <c r="F3" s="89"/>
      <c r="G3" s="96"/>
      <c r="H3" s="89"/>
      <c r="I3" s="89"/>
      <c r="J3" s="89"/>
      <c r="K3" s="89"/>
      <c r="L3" s="89"/>
    </row>
    <row r="4" spans="1:22" ht="16.5" thickBot="1" x14ac:dyDescent="0.3">
      <c r="A4" s="97"/>
      <c r="B4" s="98" t="s">
        <v>48</v>
      </c>
      <c r="C4" s="98"/>
      <c r="D4" s="93"/>
      <c r="E4" s="89"/>
      <c r="F4" s="89"/>
      <c r="G4" s="89"/>
      <c r="H4" s="89"/>
      <c r="I4" s="89"/>
      <c r="J4" s="89"/>
      <c r="K4" s="99"/>
      <c r="L4" s="99"/>
    </row>
    <row r="5" spans="1:22" ht="16.5" thickBot="1" x14ac:dyDescent="0.3">
      <c r="A5" s="97"/>
      <c r="B5" s="97"/>
      <c r="C5" s="100" t="s">
        <v>49</v>
      </c>
      <c r="D5" s="100" t="s">
        <v>50</v>
      </c>
      <c r="E5" s="101" t="s">
        <v>51</v>
      </c>
      <c r="F5" s="101" t="s">
        <v>52</v>
      </c>
      <c r="G5" s="101" t="s">
        <v>53</v>
      </c>
      <c r="H5" s="101" t="s">
        <v>54</v>
      </c>
      <c r="I5" s="101" t="s">
        <v>55</v>
      </c>
      <c r="J5" s="101" t="s">
        <v>56</v>
      </c>
      <c r="K5" s="101" t="s">
        <v>57</v>
      </c>
      <c r="L5" s="101" t="s">
        <v>58</v>
      </c>
      <c r="M5" s="101" t="s">
        <v>59</v>
      </c>
      <c r="N5" s="101" t="s">
        <v>60</v>
      </c>
      <c r="O5" s="101" t="s">
        <v>61</v>
      </c>
      <c r="P5" s="101" t="s">
        <v>62</v>
      </c>
      <c r="Q5" s="102" t="s">
        <v>38</v>
      </c>
      <c r="R5" s="103" t="s">
        <v>63</v>
      </c>
      <c r="S5" s="104"/>
      <c r="T5" s="104"/>
      <c r="U5" s="104"/>
      <c r="V5" s="104"/>
    </row>
    <row r="6" spans="1:22" ht="15.75" x14ac:dyDescent="0.25">
      <c r="A6" s="105" t="s">
        <v>64</v>
      </c>
      <c r="B6" s="97"/>
      <c r="C6" s="97"/>
      <c r="D6" s="106">
        <v>452.45100000000002</v>
      </c>
      <c r="E6" s="106">
        <v>121.4</v>
      </c>
      <c r="F6" s="106">
        <v>219.29300000000001</v>
      </c>
      <c r="G6" s="106">
        <v>161.87800000000001</v>
      </c>
      <c r="H6" s="107">
        <v>148.857</v>
      </c>
      <c r="I6" s="107">
        <v>69.212000000000003</v>
      </c>
      <c r="J6" s="107">
        <v>99.063000000000002</v>
      </c>
      <c r="K6" s="107">
        <v>198.36999999999998</v>
      </c>
      <c r="L6" s="107">
        <v>420.52874000000003</v>
      </c>
      <c r="M6" s="108">
        <v>1828.5618181733325</v>
      </c>
      <c r="N6" s="109">
        <v>54.122558801370189</v>
      </c>
      <c r="O6" s="110">
        <v>151.28168829395</v>
      </c>
      <c r="P6" s="110">
        <v>845.57472807406998</v>
      </c>
      <c r="Q6" s="110">
        <f>+'Balança Comercial CIF'!N6</f>
        <v>409.19094106504929</v>
      </c>
      <c r="R6" s="110">
        <f>+'Balança Comercial CIF'!AA6</f>
        <v>161.64766144788223</v>
      </c>
      <c r="S6" s="111"/>
      <c r="T6" s="4"/>
      <c r="U6" s="4"/>
      <c r="V6" s="4"/>
    </row>
    <row r="7" spans="1:22" ht="15.75" x14ac:dyDescent="0.25">
      <c r="A7" s="105" t="s">
        <v>65</v>
      </c>
      <c r="B7" s="97"/>
      <c r="C7" s="97"/>
      <c r="D7" s="106">
        <v>4287.915</v>
      </c>
      <c r="E7" s="106">
        <v>3476.9430000000002</v>
      </c>
      <c r="F7" s="106">
        <v>4201.87</v>
      </c>
      <c r="G7" s="106">
        <v>6609.4279999999999</v>
      </c>
      <c r="H7" s="107">
        <v>10084.981000000002</v>
      </c>
      <c r="I7" s="107">
        <v>12973.554</v>
      </c>
      <c r="J7" s="107">
        <v>15895.167999999998</v>
      </c>
      <c r="K7" s="107">
        <v>26125.16</v>
      </c>
      <c r="L7" s="107">
        <v>15096.093410000001</v>
      </c>
      <c r="M7" s="108">
        <v>14185.116230892523</v>
      </c>
      <c r="N7" s="109">
        <v>12581.115318745462</v>
      </c>
      <c r="O7" s="110">
        <v>28793.338402175446</v>
      </c>
      <c r="P7" s="110">
        <v>36322.67550872163</v>
      </c>
      <c r="Q7" s="110">
        <f>+'Balança Comercial CIF'!N7</f>
        <v>40733.392686298183</v>
      </c>
      <c r="R7" s="110">
        <f>+'Balança Comercial CIF'!AA7</f>
        <v>31862.951170680604</v>
      </c>
      <c r="S7" s="111"/>
      <c r="T7" s="4"/>
      <c r="U7" s="4"/>
      <c r="V7" s="4"/>
    </row>
    <row r="8" spans="1:22" ht="15.75" x14ac:dyDescent="0.25">
      <c r="A8" s="105" t="s">
        <v>66</v>
      </c>
      <c r="B8" s="97"/>
      <c r="C8" s="97"/>
      <c r="D8" s="106">
        <v>381.12</v>
      </c>
      <c r="E8" s="106">
        <v>0</v>
      </c>
      <c r="F8" s="106">
        <v>36.872999999999998</v>
      </c>
      <c r="G8" s="106">
        <v>0</v>
      </c>
      <c r="H8" s="107">
        <v>0</v>
      </c>
      <c r="I8" s="107">
        <v>61.185000000000002</v>
      </c>
      <c r="J8" s="107">
        <v>32.933999999999997</v>
      </c>
      <c r="K8" s="107">
        <v>126.06700000000001</v>
      </c>
      <c r="L8" s="107">
        <v>220.84443999999999</v>
      </c>
      <c r="M8" s="108">
        <v>179.55925770747703</v>
      </c>
      <c r="N8" s="109">
        <v>0</v>
      </c>
      <c r="O8" s="110">
        <v>0</v>
      </c>
      <c r="P8" s="110">
        <v>0.01</v>
      </c>
      <c r="Q8" s="110">
        <f>+'Balança Comercial CIF'!N8</f>
        <v>0</v>
      </c>
      <c r="R8" s="110">
        <f>+'Balança Comercial CIF'!AA8</f>
        <v>0</v>
      </c>
      <c r="S8" s="111"/>
      <c r="T8" s="4"/>
      <c r="U8" s="4"/>
      <c r="V8" s="4"/>
    </row>
    <row r="9" spans="1:22" ht="15.75" x14ac:dyDescent="0.25">
      <c r="A9" s="105" t="s">
        <v>67</v>
      </c>
      <c r="B9" s="97"/>
      <c r="C9" s="97"/>
      <c r="D9" s="106">
        <v>52.015000000000001</v>
      </c>
      <c r="E9" s="106">
        <v>0</v>
      </c>
      <c r="F9" s="106">
        <v>32.572000000000003</v>
      </c>
      <c r="G9" s="106">
        <v>29.209000000000003</v>
      </c>
      <c r="H9" s="107">
        <v>340.50300000000004</v>
      </c>
      <c r="I9" s="107">
        <v>423.87599999999998</v>
      </c>
      <c r="J9" s="107">
        <v>524.73900000000003</v>
      </c>
      <c r="K9" s="107">
        <v>1083.6630000000002</v>
      </c>
      <c r="L9" s="107">
        <v>10684.35396</v>
      </c>
      <c r="M9" s="108">
        <v>447.06966129365333</v>
      </c>
      <c r="N9" s="109">
        <v>1413.983813566444</v>
      </c>
      <c r="O9" s="110">
        <v>603.66741336973473</v>
      </c>
      <c r="P9" s="110">
        <v>354.46803625609346</v>
      </c>
      <c r="Q9" s="110">
        <f>+'Balança Comercial CIF'!N9</f>
        <v>322.81061571410027</v>
      </c>
      <c r="R9" s="110">
        <f>+'Balança Comercial CIF'!AA9</f>
        <v>642.51968143030285</v>
      </c>
      <c r="S9" s="111"/>
      <c r="T9" s="4"/>
      <c r="U9" s="4"/>
      <c r="V9" s="4"/>
    </row>
    <row r="10" spans="1:22" ht="15.75" x14ac:dyDescent="0.25">
      <c r="A10" s="105" t="s">
        <v>68</v>
      </c>
      <c r="B10" s="97"/>
      <c r="C10" s="97"/>
      <c r="D10" s="106">
        <v>3010.739</v>
      </c>
      <c r="E10" s="106">
        <v>4618.0460000000003</v>
      </c>
      <c r="F10" s="106">
        <v>4847.9579999999996</v>
      </c>
      <c r="G10" s="106">
        <v>3639.7690000000002</v>
      </c>
      <c r="H10" s="107">
        <v>3058.1979999999999</v>
      </c>
      <c r="I10" s="107">
        <v>3231.9279999999999</v>
      </c>
      <c r="J10" s="107">
        <v>1792.1990000000001</v>
      </c>
      <c r="K10" s="107">
        <v>1925.4819999999997</v>
      </c>
      <c r="L10" s="107">
        <v>1962.95217</v>
      </c>
      <c r="M10" s="108">
        <v>2119.8901917286307</v>
      </c>
      <c r="N10" s="109">
        <v>2262.1176432475977</v>
      </c>
      <c r="O10" s="110">
        <v>4332.1597617605157</v>
      </c>
      <c r="P10" s="110">
        <v>2911.8866893300801</v>
      </c>
      <c r="Q10" s="110">
        <f>+'Balança Comercial CIF'!N10</f>
        <v>2774.8734291229216</v>
      </c>
      <c r="R10" s="110">
        <f>+'Balança Comercial CIF'!AA10</f>
        <v>1670.7664663161815</v>
      </c>
      <c r="S10" s="111"/>
      <c r="T10" s="4"/>
      <c r="U10" s="4"/>
      <c r="V10" s="4"/>
    </row>
    <row r="11" spans="1:22" ht="15.75" x14ac:dyDescent="0.25">
      <c r="A11" s="105" t="s">
        <v>0</v>
      </c>
      <c r="B11" s="97"/>
      <c r="C11" s="97"/>
      <c r="D11" s="106">
        <v>20.795000000000002</v>
      </c>
      <c r="E11" s="106">
        <v>0</v>
      </c>
      <c r="F11" s="106">
        <v>285.68199999999996</v>
      </c>
      <c r="G11" s="106">
        <v>33.597000000000001</v>
      </c>
      <c r="H11" s="107">
        <v>90.635000000000005</v>
      </c>
      <c r="I11" s="107">
        <v>245.76499999999999</v>
      </c>
      <c r="J11" s="107">
        <v>1358.3879999999999</v>
      </c>
      <c r="K11" s="107">
        <v>1030.403</v>
      </c>
      <c r="L11" s="107">
        <v>1451.4671099999998</v>
      </c>
      <c r="M11" s="108">
        <v>2803.6103397405018</v>
      </c>
      <c r="N11" s="109">
        <v>2620.0703167836991</v>
      </c>
      <c r="O11" s="110">
        <v>1790.3436317484543</v>
      </c>
      <c r="P11" s="110">
        <v>2427.0537171551914</v>
      </c>
      <c r="Q11" s="110">
        <f>+'Balança Comercial CIF'!N11</f>
        <v>3931.0744926239577</v>
      </c>
      <c r="R11" s="110">
        <f>+'Balança Comercial CIF'!AA11</f>
        <v>4527.3591193304137</v>
      </c>
      <c r="S11" s="111"/>
      <c r="T11" s="4"/>
      <c r="U11" s="4"/>
      <c r="V11" s="4"/>
    </row>
    <row r="12" spans="1:22" ht="15.75" x14ac:dyDescent="0.25">
      <c r="A12" s="105" t="s">
        <v>69</v>
      </c>
      <c r="B12" s="97"/>
      <c r="C12" s="97"/>
      <c r="D12" s="106">
        <v>0.49399999999999999</v>
      </c>
      <c r="E12" s="106">
        <v>0</v>
      </c>
      <c r="F12" s="106">
        <v>3.1110000000000002</v>
      </c>
      <c r="G12" s="106">
        <v>15.87</v>
      </c>
      <c r="H12" s="107">
        <v>13.207000000000001</v>
      </c>
      <c r="I12" s="107">
        <v>0</v>
      </c>
      <c r="J12" s="107">
        <v>0</v>
      </c>
      <c r="K12" s="107">
        <v>13.667999999999999</v>
      </c>
      <c r="L12" s="107">
        <v>0</v>
      </c>
      <c r="M12" s="108">
        <v>1.5256800000000001</v>
      </c>
      <c r="N12" s="109">
        <v>27.895572880252512</v>
      </c>
      <c r="O12" s="110">
        <v>423.74563538120219</v>
      </c>
      <c r="P12" s="110">
        <v>0.24015286038411543</v>
      </c>
      <c r="Q12" s="110">
        <f>+'Balança Comercial CIF'!N12</f>
        <v>0.48654075815689274</v>
      </c>
      <c r="R12" s="110">
        <f>+'Balança Comercial CIF'!AA12</f>
        <v>90.932441532499553</v>
      </c>
      <c r="S12" s="111"/>
      <c r="T12" s="4"/>
      <c r="U12" s="4"/>
      <c r="V12" s="4"/>
    </row>
    <row r="13" spans="1:22" ht="15.75" x14ac:dyDescent="0.25">
      <c r="A13" s="105" t="s">
        <v>1</v>
      </c>
      <c r="B13" s="97"/>
      <c r="C13" s="97"/>
      <c r="D13" s="106">
        <v>116.56300000000002</v>
      </c>
      <c r="E13" s="106">
        <v>46.6</v>
      </c>
      <c r="F13" s="106">
        <v>143.18799999999999</v>
      </c>
      <c r="G13" s="106">
        <v>86.128</v>
      </c>
      <c r="H13" s="107">
        <v>10.119</v>
      </c>
      <c r="I13" s="107">
        <v>92.539000000000001</v>
      </c>
      <c r="J13" s="107">
        <v>0</v>
      </c>
      <c r="K13" s="107">
        <v>9.8330000000000002</v>
      </c>
      <c r="L13" s="107">
        <v>41.868269999999995</v>
      </c>
      <c r="M13" s="108">
        <v>6.438601359789093</v>
      </c>
      <c r="N13" s="109">
        <v>1561.2594412108606</v>
      </c>
      <c r="O13" s="110">
        <v>3818.494971936535</v>
      </c>
      <c r="P13" s="110">
        <v>445.61063656111099</v>
      </c>
      <c r="Q13" s="110">
        <f>+'Balança Comercial CIF'!N13</f>
        <v>2041.7411131887461</v>
      </c>
      <c r="R13" s="110">
        <f>+'Balança Comercial CIF'!AA13</f>
        <v>2808.0380697216278</v>
      </c>
      <c r="S13" s="111"/>
      <c r="T13" s="4"/>
      <c r="U13" s="4"/>
      <c r="V13" s="4"/>
    </row>
    <row r="14" spans="1:22" ht="15.75" x14ac:dyDescent="0.25">
      <c r="A14" s="105" t="s">
        <v>70</v>
      </c>
      <c r="B14" s="97"/>
      <c r="C14" s="97"/>
      <c r="D14" s="106">
        <v>38.323</v>
      </c>
      <c r="E14" s="106">
        <v>100.15900000000001</v>
      </c>
      <c r="F14" s="106">
        <v>14.077</v>
      </c>
      <c r="G14" s="106">
        <v>38.989000000000004</v>
      </c>
      <c r="H14" s="107">
        <v>57.862000000000002</v>
      </c>
      <c r="I14" s="107">
        <v>519.25599999999997</v>
      </c>
      <c r="J14" s="107">
        <v>15.387999999999998</v>
      </c>
      <c r="K14" s="107">
        <v>84.345000000000013</v>
      </c>
      <c r="L14" s="107">
        <v>181.80939000000001</v>
      </c>
      <c r="M14" s="108">
        <v>162.422671577025</v>
      </c>
      <c r="N14" s="109">
        <v>6052.4742839758983</v>
      </c>
      <c r="O14" s="110">
        <v>2556.5263763507351</v>
      </c>
      <c r="P14" s="110">
        <v>3166.1034385141033</v>
      </c>
      <c r="Q14" s="110">
        <f>+'Balança Comercial CIF'!N14</f>
        <v>3835.1070674108078</v>
      </c>
      <c r="R14" s="110">
        <f>+'Balança Comercial CIF'!AA14</f>
        <v>2081.5099294913098</v>
      </c>
      <c r="S14" s="111"/>
      <c r="T14" s="4"/>
      <c r="U14" s="4"/>
      <c r="V14" s="4"/>
    </row>
    <row r="15" spans="1:22" ht="15.75" x14ac:dyDescent="0.25">
      <c r="A15" s="105" t="s">
        <v>71</v>
      </c>
      <c r="B15" s="97"/>
      <c r="C15" s="97"/>
      <c r="D15" s="106">
        <v>1705.2360000000001</v>
      </c>
      <c r="E15" s="106">
        <v>237.58699999999999</v>
      </c>
      <c r="F15" s="106">
        <v>1280.25</v>
      </c>
      <c r="G15" s="106">
        <v>214.77800000000002</v>
      </c>
      <c r="H15" s="107">
        <v>164.95299999999997</v>
      </c>
      <c r="I15" s="107">
        <v>786.01200000000006</v>
      </c>
      <c r="J15" s="107">
        <v>222.15700000000001</v>
      </c>
      <c r="K15" s="107">
        <v>191.92299999999997</v>
      </c>
      <c r="L15" s="107">
        <v>678.16139999999996</v>
      </c>
      <c r="M15" s="108">
        <v>5814.852563192072</v>
      </c>
      <c r="N15" s="109">
        <v>3215.7701583879125</v>
      </c>
      <c r="O15" s="110">
        <v>827.67432435179205</v>
      </c>
      <c r="P15" s="110">
        <v>1061.6552538286967</v>
      </c>
      <c r="Q15" s="110">
        <f>+'Balança Comercial CIF'!N15</f>
        <v>1056.7999684822923</v>
      </c>
      <c r="R15" s="110">
        <f>+'Balança Comercial CIF'!AA15</f>
        <v>784.81650734241589</v>
      </c>
      <c r="S15" s="111"/>
      <c r="T15" s="4"/>
      <c r="U15" s="4"/>
      <c r="V15" s="4"/>
    </row>
    <row r="16" spans="1:22" ht="15.75" x14ac:dyDescent="0.25">
      <c r="A16" s="105" t="s">
        <v>72</v>
      </c>
      <c r="B16" s="97"/>
      <c r="C16" s="97"/>
      <c r="D16" s="106">
        <v>1152.4260000000002</v>
      </c>
      <c r="E16" s="106">
        <v>933.26599999999985</v>
      </c>
      <c r="F16" s="106">
        <v>1254.6469999999999</v>
      </c>
      <c r="G16" s="106">
        <v>571.81200000000001</v>
      </c>
      <c r="H16" s="107">
        <v>293.08499999999998</v>
      </c>
      <c r="I16" s="107">
        <v>2505.299</v>
      </c>
      <c r="J16" s="107">
        <v>1739.2229999999997</v>
      </c>
      <c r="K16" s="107">
        <v>3370.6650000000004</v>
      </c>
      <c r="L16" s="107">
        <v>2787.8255600000002</v>
      </c>
      <c r="M16" s="108">
        <v>6234.2440190375937</v>
      </c>
      <c r="N16" s="109">
        <v>2689.048540261454</v>
      </c>
      <c r="O16" s="110">
        <v>2791.6365724078205</v>
      </c>
      <c r="P16" s="110">
        <v>2074.8690108175419</v>
      </c>
      <c r="Q16" s="110">
        <f>+'Balança Comercial CIF'!N16</f>
        <v>3441.5384964802447</v>
      </c>
      <c r="R16" s="110">
        <f>+'Balança Comercial CIF'!AA16</f>
        <v>2434.877655522429</v>
      </c>
      <c r="S16" s="111"/>
      <c r="T16" s="4"/>
      <c r="U16" s="4"/>
      <c r="V16" s="4"/>
    </row>
    <row r="17" spans="1:22" ht="15.75" x14ac:dyDescent="0.25">
      <c r="A17" s="105" t="s">
        <v>73</v>
      </c>
      <c r="B17" s="97"/>
      <c r="C17" s="97"/>
      <c r="D17" s="106">
        <v>0</v>
      </c>
      <c r="E17" s="106">
        <v>0</v>
      </c>
      <c r="F17" s="106">
        <v>32.862000000000002</v>
      </c>
      <c r="G17" s="106">
        <v>231.40300000000002</v>
      </c>
      <c r="H17" s="107">
        <v>294.20300000000003</v>
      </c>
      <c r="I17" s="107">
        <v>315.44299999999998</v>
      </c>
      <c r="J17" s="107">
        <v>572.54700000000003</v>
      </c>
      <c r="K17" s="107">
        <v>436.19899999999996</v>
      </c>
      <c r="L17" s="107">
        <v>431.41147999999998</v>
      </c>
      <c r="M17" s="108">
        <v>593.54983328933383</v>
      </c>
      <c r="N17" s="109">
        <v>677.55097820882861</v>
      </c>
      <c r="O17" s="110">
        <v>1850.395517051903</v>
      </c>
      <c r="P17" s="110">
        <v>841.08609131284823</v>
      </c>
      <c r="Q17" s="110">
        <f>+'Balança Comercial CIF'!N17</f>
        <v>1074.1411202621066</v>
      </c>
      <c r="R17" s="110">
        <f>+'Balança Comercial CIF'!AA17</f>
        <v>660.71159841125871</v>
      </c>
      <c r="S17" s="111"/>
      <c r="T17" s="4"/>
      <c r="U17" s="4"/>
      <c r="V17" s="4"/>
    </row>
    <row r="18" spans="1:22" ht="15.75" x14ac:dyDescent="0.25">
      <c r="A18" s="105" t="s">
        <v>74</v>
      </c>
      <c r="B18" s="97"/>
      <c r="C18" s="97"/>
      <c r="D18" s="106">
        <v>39.487000000000002</v>
      </c>
      <c r="E18" s="106">
        <v>0</v>
      </c>
      <c r="F18" s="106">
        <v>191.85300000000001</v>
      </c>
      <c r="G18" s="106">
        <v>0.79900000000000004</v>
      </c>
      <c r="H18" s="107">
        <v>8.5340000000000007</v>
      </c>
      <c r="I18" s="107">
        <v>0</v>
      </c>
      <c r="J18" s="107">
        <v>2.722</v>
      </c>
      <c r="K18" s="107">
        <v>330.50600000000003</v>
      </c>
      <c r="L18" s="107">
        <v>152.92689000000001</v>
      </c>
      <c r="M18" s="108">
        <v>74.274860368251382</v>
      </c>
      <c r="N18" s="109">
        <v>193.70965792177185</v>
      </c>
      <c r="O18" s="110">
        <v>638.9364816447885</v>
      </c>
      <c r="P18" s="110">
        <v>352.52213083467495</v>
      </c>
      <c r="Q18" s="110">
        <f>+'Balança Comercial CIF'!N18</f>
        <v>237.8879960854602</v>
      </c>
      <c r="R18" s="110">
        <f>+'Balança Comercial CIF'!AA18</f>
        <v>180.70092102304321</v>
      </c>
      <c r="S18" s="111"/>
      <c r="T18" s="4"/>
      <c r="U18" s="4"/>
      <c r="V18" s="4"/>
    </row>
    <row r="19" spans="1:22" ht="15.75" x14ac:dyDescent="0.25">
      <c r="A19" s="105" t="s">
        <v>75</v>
      </c>
      <c r="B19" s="97"/>
      <c r="C19" s="97"/>
      <c r="D19" s="106">
        <v>1872.519</v>
      </c>
      <c r="E19" s="106">
        <v>2175.7910000000002</v>
      </c>
      <c r="F19" s="106">
        <v>1375.1109999999999</v>
      </c>
      <c r="G19" s="106">
        <v>2498.92</v>
      </c>
      <c r="H19" s="107">
        <v>3666.1489999999999</v>
      </c>
      <c r="I19" s="107">
        <v>478.76000000000005</v>
      </c>
      <c r="J19" s="107">
        <v>193.30399999999997</v>
      </c>
      <c r="K19" s="107">
        <v>909.76</v>
      </c>
      <c r="L19" s="107">
        <v>4451.6616899999999</v>
      </c>
      <c r="M19" s="108">
        <v>1426.1226633970057</v>
      </c>
      <c r="N19" s="109">
        <v>3260.931210330742</v>
      </c>
      <c r="O19" s="110">
        <v>1940.7208574999213</v>
      </c>
      <c r="P19" s="110">
        <v>2160.3287918634842</v>
      </c>
      <c r="Q19" s="110">
        <f>+'Balança Comercial CIF'!N19</f>
        <v>831.10875978045078</v>
      </c>
      <c r="R19" s="110">
        <f>+'Balança Comercial CIF'!AA19</f>
        <v>3112.7930253947652</v>
      </c>
      <c r="S19" s="111"/>
      <c r="T19" s="4"/>
      <c r="U19" s="4"/>
      <c r="V19" s="4"/>
    </row>
    <row r="20" spans="1:22" ht="15.75" x14ac:dyDescent="0.25">
      <c r="A20" s="105" t="s">
        <v>76</v>
      </c>
      <c r="B20" s="97"/>
      <c r="C20" s="97"/>
      <c r="D20" s="106">
        <v>81.397999999999996</v>
      </c>
      <c r="E20" s="106">
        <v>204.148</v>
      </c>
      <c r="F20" s="106">
        <v>206.886</v>
      </c>
      <c r="G20" s="106">
        <v>118.15</v>
      </c>
      <c r="H20" s="107">
        <v>91.230999999999995</v>
      </c>
      <c r="I20" s="107">
        <v>517.81799999999998</v>
      </c>
      <c r="J20" s="107">
        <v>584.40099999999995</v>
      </c>
      <c r="K20" s="107">
        <v>2568.1239999999998</v>
      </c>
      <c r="L20" s="107">
        <v>311.65226999999999</v>
      </c>
      <c r="M20" s="108">
        <v>814.50270581789869</v>
      </c>
      <c r="N20" s="109">
        <v>1076.9790469746763</v>
      </c>
      <c r="O20" s="110">
        <v>326.81942564836675</v>
      </c>
      <c r="P20" s="110">
        <v>926.82922019928162</v>
      </c>
      <c r="Q20" s="110">
        <f>+'Balança Comercial CIF'!N20</f>
        <v>612.14183794773271</v>
      </c>
      <c r="R20" s="110">
        <f>+'Balança Comercial CIF'!AA20</f>
        <v>450.21974032001748</v>
      </c>
      <c r="S20" s="111"/>
      <c r="T20" s="4"/>
      <c r="U20" s="4"/>
      <c r="V20" s="4"/>
    </row>
    <row r="21" spans="1:22" ht="15.75" x14ac:dyDescent="0.25">
      <c r="A21" s="105" t="s">
        <v>77</v>
      </c>
      <c r="B21" s="97"/>
      <c r="C21" s="97"/>
      <c r="D21" s="106"/>
      <c r="E21" s="106"/>
      <c r="F21" s="106">
        <v>16.34</v>
      </c>
      <c r="G21" s="106">
        <v>16.274999999999999</v>
      </c>
      <c r="H21" s="107">
        <v>28.777000000000001</v>
      </c>
      <c r="I21" s="107">
        <v>84.935000000000002</v>
      </c>
      <c r="J21" s="107">
        <v>93.831999999999994</v>
      </c>
      <c r="K21" s="107">
        <v>91.832000000000008</v>
      </c>
      <c r="L21" s="107">
        <v>232.03924999999998</v>
      </c>
      <c r="M21" s="108">
        <v>258.95408056080322</v>
      </c>
      <c r="N21" s="109">
        <v>673.5435569872086</v>
      </c>
      <c r="O21" s="110">
        <v>750.55636487312381</v>
      </c>
      <c r="P21" s="110">
        <v>269.49608109240643</v>
      </c>
      <c r="Q21" s="110">
        <f>+'Balança Comercial CIF'!N21</f>
        <v>443.21485058174505</v>
      </c>
      <c r="R21" s="110">
        <f>+'Balança Comercial CIF'!AA21</f>
        <v>463.98682964435397</v>
      </c>
      <c r="S21" s="111"/>
      <c r="T21" s="4"/>
      <c r="U21" s="4"/>
      <c r="V21" s="4"/>
    </row>
    <row r="22" spans="1:22" ht="15.75" x14ac:dyDescent="0.25">
      <c r="A22" s="105" t="s">
        <v>14</v>
      </c>
      <c r="B22" s="97"/>
      <c r="C22" s="97"/>
      <c r="D22" s="106">
        <v>236.22499999999999</v>
      </c>
      <c r="E22" s="106">
        <v>1787.5</v>
      </c>
      <c r="F22" s="106">
        <v>195.941</v>
      </c>
      <c r="G22" s="106">
        <v>421.97800000000001</v>
      </c>
      <c r="H22" s="107">
        <v>151.03799999999998</v>
      </c>
      <c r="I22" s="107">
        <v>562.9430000000001</v>
      </c>
      <c r="J22" s="107">
        <v>1139.0029999999999</v>
      </c>
      <c r="K22" s="107">
        <v>146.87299999999999</v>
      </c>
      <c r="L22" s="107">
        <v>399.94815000000006</v>
      </c>
      <c r="M22" s="108">
        <v>569.82804084025054</v>
      </c>
      <c r="N22" s="109">
        <v>408.59047445018336</v>
      </c>
      <c r="O22" s="110">
        <v>556.00330743399411</v>
      </c>
      <c r="P22" s="110">
        <v>390.44834438330633</v>
      </c>
      <c r="Q22" s="110">
        <f>+'Balança Comercial CIF'!N22</f>
        <v>1720.806560897011</v>
      </c>
      <c r="R22" s="110">
        <f>+'Balança Comercial CIF'!AA22</f>
        <v>1352.3445767180167</v>
      </c>
      <c r="S22" s="111"/>
      <c r="T22" s="4"/>
      <c r="U22" s="4"/>
      <c r="V22" s="4"/>
    </row>
    <row r="23" spans="1:22" ht="15.75" x14ac:dyDescent="0.25">
      <c r="A23" s="105" t="s">
        <v>2</v>
      </c>
      <c r="B23" s="97"/>
      <c r="C23" s="97"/>
      <c r="D23" s="106">
        <v>13131.927</v>
      </c>
      <c r="E23" s="106">
        <v>17000.760999999999</v>
      </c>
      <c r="F23" s="106">
        <v>25352.65</v>
      </c>
      <c r="G23" s="106">
        <v>24961.491999999998</v>
      </c>
      <c r="H23" s="107">
        <v>28384.688999999998</v>
      </c>
      <c r="I23" s="107">
        <v>45050.371999999996</v>
      </c>
      <c r="J23" s="107">
        <v>52326.951000000001</v>
      </c>
      <c r="K23" s="107">
        <v>69927.084000000003</v>
      </c>
      <c r="L23" s="107">
        <v>57670.501810000002</v>
      </c>
      <c r="M23" s="108">
        <v>71239.375196442779</v>
      </c>
      <c r="N23" s="109">
        <v>77454.969253069663</v>
      </c>
      <c r="O23" s="110">
        <v>73139.175197773351</v>
      </c>
      <c r="P23" s="110">
        <v>89485.861672001876</v>
      </c>
      <c r="Q23" s="110">
        <f>+'Balança Comercial CIF'!N23</f>
        <v>102251.51429622679</v>
      </c>
      <c r="R23" s="110">
        <f>+'Balança Comercial CIF'!AA23</f>
        <v>81859.321829332708</v>
      </c>
      <c r="S23" s="111"/>
      <c r="T23" s="4"/>
      <c r="U23" s="4"/>
      <c r="V23" s="4"/>
    </row>
    <row r="24" spans="1:22" ht="15.75" x14ac:dyDescent="0.25">
      <c r="A24" s="105" t="s">
        <v>78</v>
      </c>
      <c r="B24" s="97"/>
      <c r="C24" s="97"/>
      <c r="D24" s="106">
        <v>332.995</v>
      </c>
      <c r="E24" s="106">
        <v>57.181296147958712</v>
      </c>
      <c r="F24" s="106">
        <v>175.62199999999999</v>
      </c>
      <c r="G24" s="106">
        <v>81.942000000000007</v>
      </c>
      <c r="H24" s="107">
        <v>172.2</v>
      </c>
      <c r="I24" s="107">
        <v>298.649</v>
      </c>
      <c r="J24" s="107">
        <v>151.76400000000001</v>
      </c>
      <c r="K24" s="107">
        <v>25.56</v>
      </c>
      <c r="L24" s="107">
        <v>53.333959999999998</v>
      </c>
      <c r="M24" s="108">
        <v>56.130571235967665</v>
      </c>
      <c r="N24" s="109">
        <v>294.03213021345005</v>
      </c>
      <c r="O24" s="110">
        <v>487.22254782675498</v>
      </c>
      <c r="P24" s="110">
        <v>259.5217564877895</v>
      </c>
      <c r="Q24" s="110">
        <f>+'Balança Comercial CIF'!N24</f>
        <v>296.51070225025512</v>
      </c>
      <c r="R24" s="110">
        <f>+'Balança Comercial CIF'!AA24</f>
        <v>530.00917744833203</v>
      </c>
      <c r="S24" s="111"/>
      <c r="T24" s="4"/>
      <c r="U24" s="4"/>
      <c r="V24" s="4"/>
    </row>
    <row r="25" spans="1:22" ht="15.75" x14ac:dyDescent="0.25">
      <c r="A25" s="105" t="s">
        <v>79</v>
      </c>
      <c r="B25" s="97"/>
      <c r="C25" s="97"/>
      <c r="D25" s="106">
        <v>17.917000000000002</v>
      </c>
      <c r="E25" s="106">
        <v>9.9</v>
      </c>
      <c r="F25" s="106">
        <v>5.2560000000000002</v>
      </c>
      <c r="G25" s="106">
        <v>0</v>
      </c>
      <c r="H25" s="107">
        <v>0.221</v>
      </c>
      <c r="I25" s="107">
        <v>1.7110000000000001</v>
      </c>
      <c r="J25" s="107">
        <v>14.156000000000001</v>
      </c>
      <c r="K25" s="107">
        <v>0</v>
      </c>
      <c r="L25" s="107">
        <v>0</v>
      </c>
      <c r="M25" s="108">
        <v>0.10986</v>
      </c>
      <c r="N25" s="109">
        <v>0</v>
      </c>
      <c r="O25" s="110">
        <v>12.081331444816714</v>
      </c>
      <c r="P25" s="110">
        <v>22.800255049852577</v>
      </c>
      <c r="Q25" s="110">
        <f>+'Balança Comercial CIF'!N25</f>
        <v>8.3576398033406925</v>
      </c>
      <c r="R25" s="110">
        <f>+'Balança Comercial CIF'!AA25</f>
        <v>1.0075278999859689</v>
      </c>
      <c r="S25" s="111"/>
      <c r="T25" s="4"/>
      <c r="U25" s="4"/>
      <c r="V25" s="4"/>
    </row>
    <row r="26" spans="1:22" ht="15.75" x14ac:dyDescent="0.25">
      <c r="A26" s="105" t="s">
        <v>80</v>
      </c>
      <c r="B26" s="97"/>
      <c r="C26" s="97"/>
      <c r="D26" s="106">
        <v>1.7370000000000001</v>
      </c>
      <c r="E26" s="106">
        <v>2.1</v>
      </c>
      <c r="F26" s="106">
        <v>41.003999999999998</v>
      </c>
      <c r="G26" s="106">
        <v>155.124</v>
      </c>
      <c r="H26" s="107">
        <v>9.197000000000001</v>
      </c>
      <c r="I26" s="107">
        <v>84.614999999999995</v>
      </c>
      <c r="J26" s="107">
        <v>66.198000000000008</v>
      </c>
      <c r="K26" s="107">
        <v>15.094000000000001</v>
      </c>
      <c r="L26" s="107">
        <v>17.573539999999998</v>
      </c>
      <c r="M26" s="108">
        <v>32.005415468821553</v>
      </c>
      <c r="N26" s="109">
        <v>13.121939216878923</v>
      </c>
      <c r="O26" s="110">
        <v>188.0618133465392</v>
      </c>
      <c r="P26" s="110">
        <v>178.93633856883091</v>
      </c>
      <c r="Q26" s="110">
        <f>+'Balança Comercial CIF'!N26</f>
        <v>12.097741282094034</v>
      </c>
      <c r="R26" s="110">
        <f>+'Balança Comercial CIF'!AA26</f>
        <v>57.273000224359109</v>
      </c>
      <c r="S26" s="111"/>
      <c r="T26" s="4"/>
      <c r="U26" s="4"/>
      <c r="V26" s="4"/>
    </row>
    <row r="27" spans="1:22" ht="15.75" x14ac:dyDescent="0.25">
      <c r="A27" s="105" t="s">
        <v>81</v>
      </c>
      <c r="B27" s="97"/>
      <c r="C27" s="97"/>
      <c r="D27" s="106">
        <v>0</v>
      </c>
      <c r="E27" s="106">
        <v>2.2999999999999998</v>
      </c>
      <c r="F27" s="106">
        <v>91.671000000000006</v>
      </c>
      <c r="G27" s="106">
        <v>174.61800000000002</v>
      </c>
      <c r="H27" s="107">
        <v>371.68099999999993</v>
      </c>
      <c r="I27" s="107">
        <v>77.513999999999996</v>
      </c>
      <c r="J27" s="107">
        <v>123.36</v>
      </c>
      <c r="K27" s="107">
        <v>169.64699999999999</v>
      </c>
      <c r="L27" s="107">
        <v>292.20028000000002</v>
      </c>
      <c r="M27" s="108">
        <v>2133.4868870950268</v>
      </c>
      <c r="N27" s="109">
        <v>531.4321220193998</v>
      </c>
      <c r="O27" s="110">
        <v>958.40732811235478</v>
      </c>
      <c r="P27" s="110">
        <v>257.20041462547783</v>
      </c>
      <c r="Q27" s="110">
        <f>+'Balança Comercial CIF'!N27</f>
        <v>52.549292844040728</v>
      </c>
      <c r="R27" s="110">
        <f>+'Balança Comercial CIF'!AA27</f>
        <v>53.356055736483917</v>
      </c>
      <c r="S27" s="111"/>
      <c r="T27" s="4"/>
      <c r="U27" s="4"/>
      <c r="V27" s="4"/>
    </row>
    <row r="28" spans="1:22" ht="15.75" x14ac:dyDescent="0.25">
      <c r="A28" s="105" t="s">
        <v>82</v>
      </c>
      <c r="B28" s="97"/>
      <c r="C28" s="97"/>
      <c r="D28" s="106">
        <v>0</v>
      </c>
      <c r="E28" s="106">
        <v>0</v>
      </c>
      <c r="F28" s="106">
        <v>0</v>
      </c>
      <c r="G28" s="107">
        <v>0</v>
      </c>
      <c r="H28" s="107">
        <v>1391.3620000000001</v>
      </c>
      <c r="I28" s="107">
        <v>638.755</v>
      </c>
      <c r="J28" s="107">
        <v>0</v>
      </c>
      <c r="K28" s="107">
        <v>0</v>
      </c>
      <c r="L28" s="107">
        <v>0</v>
      </c>
      <c r="M28" s="108">
        <v>0</v>
      </c>
      <c r="N28" s="109">
        <v>0</v>
      </c>
      <c r="O28" s="110">
        <v>26.200252865229295</v>
      </c>
      <c r="P28" s="110">
        <v>0</v>
      </c>
      <c r="Q28" s="110">
        <f>+'Balança Comercial CIF'!N28</f>
        <v>0</v>
      </c>
      <c r="R28" s="110">
        <f>+'Balança Comercial CIF'!AA28</f>
        <v>45.65943206823183</v>
      </c>
      <c r="S28" s="111"/>
      <c r="T28" s="4"/>
      <c r="U28" s="4"/>
      <c r="V28" s="4"/>
    </row>
    <row r="29" spans="1:22" ht="15.75" x14ac:dyDescent="0.25">
      <c r="A29" s="105" t="s">
        <v>83</v>
      </c>
      <c r="B29" s="97"/>
      <c r="C29" s="97"/>
      <c r="D29" s="106">
        <v>0</v>
      </c>
      <c r="E29" s="106">
        <v>0</v>
      </c>
      <c r="F29" s="106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979.63900000000001</v>
      </c>
      <c r="L29" s="107">
        <v>51.128579999999999</v>
      </c>
      <c r="M29" s="108">
        <v>0</v>
      </c>
      <c r="N29" s="109">
        <v>1787.9121221019695</v>
      </c>
      <c r="O29" s="110">
        <v>99.317516511875695</v>
      </c>
      <c r="P29" s="110">
        <v>0</v>
      </c>
      <c r="Q29" s="110">
        <f>+'Balança Comercial CIF'!N29</f>
        <v>78.579205202542198</v>
      </c>
      <c r="R29" s="110">
        <f>+'Balança Comercial CIF'!AA29</f>
        <v>1206.444883665715</v>
      </c>
      <c r="S29" s="111"/>
      <c r="T29" s="4"/>
      <c r="U29" s="4"/>
      <c r="V29" s="4"/>
    </row>
    <row r="30" spans="1:22" ht="15.75" x14ac:dyDescent="0.25">
      <c r="A30" s="105" t="s">
        <v>84</v>
      </c>
      <c r="B30" s="97"/>
      <c r="C30" s="97"/>
      <c r="D30" s="106">
        <v>0</v>
      </c>
      <c r="E30" s="106">
        <v>0</v>
      </c>
      <c r="F30" s="106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315.92999999999995</v>
      </c>
      <c r="L30" s="107">
        <v>489.44015000000002</v>
      </c>
      <c r="M30" s="108">
        <v>2102.6801519748556</v>
      </c>
      <c r="N30" s="109">
        <v>1365.5740844820348</v>
      </c>
      <c r="O30" s="110">
        <v>1359.5726185937672</v>
      </c>
      <c r="P30" s="110">
        <v>1252.634913277858</v>
      </c>
      <c r="Q30" s="110">
        <f>+'Balança Comercial CIF'!N30</f>
        <v>1402.192192191239</v>
      </c>
      <c r="R30" s="110">
        <f>+'Balança Comercial CIF'!AA30</f>
        <v>1417.5788762527211</v>
      </c>
      <c r="S30" s="111"/>
      <c r="T30" s="4"/>
      <c r="U30" s="4"/>
      <c r="V30" s="4"/>
    </row>
    <row r="31" spans="1:22" ht="15.75" x14ac:dyDescent="0.25">
      <c r="A31" s="105" t="s">
        <v>85</v>
      </c>
      <c r="B31" s="97"/>
      <c r="C31" s="97"/>
      <c r="D31" s="106">
        <v>0</v>
      </c>
      <c r="E31" s="106">
        <v>0</v>
      </c>
      <c r="F31" s="106">
        <v>0</v>
      </c>
      <c r="G31" s="107">
        <v>0</v>
      </c>
      <c r="H31" s="107">
        <v>0</v>
      </c>
      <c r="I31" s="107">
        <v>259.351</v>
      </c>
      <c r="J31" s="107">
        <v>421.22700000000003</v>
      </c>
      <c r="K31" s="107">
        <v>367.46300000000008</v>
      </c>
      <c r="L31" s="107">
        <v>197.97602000000001</v>
      </c>
      <c r="M31" s="108">
        <v>468.71014196337819</v>
      </c>
      <c r="N31" s="109">
        <v>361.39768607385668</v>
      </c>
      <c r="O31" s="110">
        <v>370.63479179862213</v>
      </c>
      <c r="P31" s="110">
        <v>317.6198375791891</v>
      </c>
      <c r="Q31" s="110">
        <f>+'Balança Comercial CIF'!N31</f>
        <v>375.37346560655277</v>
      </c>
      <c r="R31" s="110">
        <f>+'Balança Comercial CIF'!AA31</f>
        <v>375.6077015043719</v>
      </c>
      <c r="S31" s="111"/>
      <c r="T31" s="4"/>
      <c r="U31" s="4"/>
      <c r="V31" s="4"/>
    </row>
    <row r="32" spans="1:22" ht="15.75" x14ac:dyDescent="0.25">
      <c r="A32" s="105" t="s">
        <v>86</v>
      </c>
      <c r="B32" s="97"/>
      <c r="C32" s="97"/>
      <c r="D32" s="106">
        <v>0</v>
      </c>
      <c r="E32" s="106">
        <v>0</v>
      </c>
      <c r="F32" s="106">
        <v>0</v>
      </c>
      <c r="G32" s="107">
        <v>0</v>
      </c>
      <c r="H32" s="107">
        <v>0</v>
      </c>
      <c r="I32" s="107">
        <v>50.384999999999998</v>
      </c>
      <c r="J32" s="107">
        <v>8.1720000000000006</v>
      </c>
      <c r="K32" s="107">
        <v>4.3810000000000002</v>
      </c>
      <c r="L32" s="107">
        <v>157.62123</v>
      </c>
      <c r="M32" s="108">
        <v>189.08383181868899</v>
      </c>
      <c r="N32" s="109">
        <v>29.686794493756377</v>
      </c>
      <c r="O32" s="110">
        <v>34.014897985221467</v>
      </c>
      <c r="P32" s="110">
        <v>607.39671152654444</v>
      </c>
      <c r="Q32" s="110">
        <f>+'Balança Comercial CIF'!N32</f>
        <v>169.03129688404141</v>
      </c>
      <c r="R32" s="110">
        <f>+'Balança Comercial CIF'!AA32</f>
        <v>17.143483354931021</v>
      </c>
      <c r="S32" s="111"/>
      <c r="T32" s="4"/>
      <c r="U32" s="4"/>
      <c r="V32" s="4"/>
    </row>
    <row r="33" spans="1:38" ht="15.75" x14ac:dyDescent="0.25">
      <c r="A33" s="105" t="s">
        <v>87</v>
      </c>
      <c r="B33" s="97"/>
      <c r="C33" s="97"/>
      <c r="D33" s="106">
        <v>541.40599999999995</v>
      </c>
      <c r="E33" s="106">
        <v>362.209</v>
      </c>
      <c r="F33" s="106">
        <v>707.24600000000009</v>
      </c>
      <c r="G33" s="106">
        <v>1289.1280000000002</v>
      </c>
      <c r="H33" s="107">
        <v>902.33800000000008</v>
      </c>
      <c r="I33" s="107">
        <v>1523.5499999999997</v>
      </c>
      <c r="J33" s="107">
        <v>1713.3989999999999</v>
      </c>
      <c r="K33" s="107">
        <v>3646.5950000000003</v>
      </c>
      <c r="L33" s="107">
        <v>3828.4875820000007</v>
      </c>
      <c r="M33" s="108">
        <v>3307.1846991212674</v>
      </c>
      <c r="N33" s="109">
        <v>10953.153777062762</v>
      </c>
      <c r="O33" s="110">
        <v>2499.2018239657659</v>
      </c>
      <c r="P33" s="110">
        <v>2828.2754789184628</v>
      </c>
      <c r="Q33" s="110">
        <f>+'Balança Comercial CIF'!N33</f>
        <v>3587.0082905932077</v>
      </c>
      <c r="R33" s="110">
        <f>+'Balança Comercial CIF'!AA33</f>
        <v>3518.7027691175817</v>
      </c>
      <c r="S33" s="111"/>
      <c r="T33" s="4"/>
      <c r="U33" s="4"/>
      <c r="V33" s="4"/>
    </row>
    <row r="34" spans="1:38" ht="15.75" x14ac:dyDescent="0.25">
      <c r="A34" s="105" t="s">
        <v>88</v>
      </c>
      <c r="B34" s="97"/>
      <c r="C34" s="97"/>
      <c r="D34" s="112">
        <f>SUM(D6:D33)</f>
        <v>27473.688000000002</v>
      </c>
      <c r="E34" s="112">
        <f t="shared" ref="E34:M34" si="0">SUM(E6:E33)</f>
        <v>31135.891296147958</v>
      </c>
      <c r="F34" s="112">
        <f t="shared" si="0"/>
        <v>40711.963000000011</v>
      </c>
      <c r="G34" s="112">
        <f t="shared" si="0"/>
        <v>41351.287000000004</v>
      </c>
      <c r="H34" s="112">
        <f t="shared" si="0"/>
        <v>49734.01999999999</v>
      </c>
      <c r="I34" s="112">
        <f t="shared" si="0"/>
        <v>70853.426999999996</v>
      </c>
      <c r="J34" s="112">
        <f t="shared" si="0"/>
        <v>79090.295000000013</v>
      </c>
      <c r="K34" s="112">
        <f t="shared" si="0"/>
        <v>114094.26599999999</v>
      </c>
      <c r="L34" s="112">
        <f t="shared" si="0"/>
        <v>102263.80733200003</v>
      </c>
      <c r="M34" s="112">
        <f t="shared" si="0"/>
        <v>117049.28997409693</v>
      </c>
      <c r="N34" s="112">
        <f>SUM(N6:N33)</f>
        <v>131560.44248146814</v>
      </c>
      <c r="O34" s="112">
        <f>SUM(O6:O33)</f>
        <v>131326.19085215259</v>
      </c>
      <c r="P34" s="112">
        <f>SUM(P6:P33)</f>
        <v>149761.10520984084</v>
      </c>
      <c r="Q34" s="112">
        <f>SUM(Q6:Q33)</f>
        <v>171699.53059958311</v>
      </c>
      <c r="R34" s="112">
        <f>SUM(R6:R33)</f>
        <v>142368.28013093254</v>
      </c>
      <c r="S34" s="111"/>
      <c r="T34" s="113"/>
      <c r="U34" s="113"/>
      <c r="V34" s="113"/>
    </row>
    <row r="35" spans="1:38" ht="15.75" x14ac:dyDescent="0.25">
      <c r="A35" s="93"/>
      <c r="B35" s="114"/>
      <c r="C35" s="114"/>
      <c r="D35" s="115"/>
      <c r="E35" s="95"/>
      <c r="F35" s="95"/>
      <c r="G35" s="95"/>
      <c r="H35" s="95"/>
      <c r="I35" s="95"/>
      <c r="J35" s="95"/>
      <c r="K35" s="95"/>
      <c r="L35" s="95"/>
    </row>
    <row r="36" spans="1:38" ht="16.5" thickBot="1" x14ac:dyDescent="0.3">
      <c r="A36" s="105"/>
      <c r="B36" s="116" t="s">
        <v>89</v>
      </c>
      <c r="C36" s="116"/>
      <c r="D36" s="93"/>
      <c r="E36" s="95"/>
      <c r="F36" s="95"/>
      <c r="G36" s="95"/>
      <c r="H36" s="95"/>
      <c r="I36" s="95"/>
      <c r="J36" s="95"/>
      <c r="K36" s="95"/>
      <c r="L36" s="95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</row>
    <row r="37" spans="1:38" ht="16.5" thickBot="1" x14ac:dyDescent="0.3">
      <c r="A37" s="105"/>
      <c r="B37" s="97"/>
      <c r="C37" s="100" t="s">
        <v>49</v>
      </c>
      <c r="D37" s="100" t="s">
        <v>50</v>
      </c>
      <c r="E37" s="101" t="s">
        <v>51</v>
      </c>
      <c r="F37" s="101" t="s">
        <v>52</v>
      </c>
      <c r="G37" s="101" t="s">
        <v>53</v>
      </c>
      <c r="H37" s="101" t="s">
        <v>54</v>
      </c>
      <c r="I37" s="101" t="s">
        <v>55</v>
      </c>
      <c r="J37" s="101" t="s">
        <v>56</v>
      </c>
      <c r="K37" s="101" t="s">
        <v>57</v>
      </c>
      <c r="L37" s="101" t="s">
        <v>58</v>
      </c>
      <c r="M37" s="101" t="s">
        <v>59</v>
      </c>
      <c r="N37" s="101" t="s">
        <v>60</v>
      </c>
      <c r="O37" s="101" t="s">
        <v>61</v>
      </c>
      <c r="P37" s="101" t="s">
        <v>62</v>
      </c>
      <c r="Q37" s="102" t="s">
        <v>38</v>
      </c>
      <c r="R37" s="103" t="s">
        <v>63</v>
      </c>
      <c r="S37" s="104"/>
      <c r="T37" s="104"/>
      <c r="U37" s="104"/>
      <c r="V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</row>
    <row r="38" spans="1:38" ht="15.75" x14ac:dyDescent="0.25">
      <c r="A38" s="105" t="s">
        <v>90</v>
      </c>
      <c r="B38" s="97"/>
      <c r="C38" s="97"/>
      <c r="D38" s="118">
        <v>19.245000000000001</v>
      </c>
      <c r="E38" s="118">
        <v>20.8</v>
      </c>
      <c r="F38" s="118">
        <v>66.048000000000002</v>
      </c>
      <c r="G38" s="118">
        <v>26.024999999999999</v>
      </c>
      <c r="H38" s="119">
        <v>0</v>
      </c>
      <c r="I38" s="119">
        <v>18.18</v>
      </c>
      <c r="J38" s="119">
        <v>6.2569999999999997</v>
      </c>
      <c r="K38" s="119">
        <v>9.9740000000000002</v>
      </c>
      <c r="L38" s="119">
        <v>0</v>
      </c>
      <c r="M38" s="119">
        <v>1.1559999999999999</v>
      </c>
      <c r="N38" s="4">
        <v>29.7113775116859</v>
      </c>
      <c r="O38" s="110">
        <v>0</v>
      </c>
      <c r="P38" s="110">
        <v>5.4089558440578598</v>
      </c>
      <c r="Q38" s="110">
        <f>+'Balança Comercial CIF'!N38</f>
        <v>0</v>
      </c>
      <c r="R38" s="110">
        <f>+'Balança Comercial CIF'!AA38</f>
        <v>1.0681846224141758</v>
      </c>
      <c r="S38" s="110"/>
      <c r="T38" s="110"/>
      <c r="U38" s="110"/>
      <c r="V38" s="110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</row>
    <row r="39" spans="1:38" ht="15.75" x14ac:dyDescent="0.25">
      <c r="A39" s="105" t="s">
        <v>65</v>
      </c>
      <c r="B39" s="97"/>
      <c r="C39" s="97"/>
      <c r="D39" s="118">
        <v>16.501999999999999</v>
      </c>
      <c r="E39" s="118">
        <v>105.881</v>
      </c>
      <c r="F39" s="118">
        <v>109.411</v>
      </c>
      <c r="G39" s="118">
        <v>63.814000000000007</v>
      </c>
      <c r="H39" s="119">
        <v>140.309</v>
      </c>
      <c r="I39" s="119">
        <v>43.459000000000003</v>
      </c>
      <c r="J39" s="119">
        <v>69.230999999999995</v>
      </c>
      <c r="K39" s="119">
        <v>53.406000000000006</v>
      </c>
      <c r="L39" s="119">
        <v>70.804349999999999</v>
      </c>
      <c r="M39" s="119">
        <v>125.57507879389421</v>
      </c>
      <c r="N39" s="4">
        <v>120.75406409310983</v>
      </c>
      <c r="O39" s="110">
        <v>87.686108312600709</v>
      </c>
      <c r="P39" s="110">
        <v>255.70105649190646</v>
      </c>
      <c r="Q39" s="110">
        <f>+'Balança Comercial CIF'!N39</f>
        <v>188.97306838299394</v>
      </c>
      <c r="R39" s="110">
        <f>+'Balança Comercial CIF'!AA39</f>
        <v>163.42265200944917</v>
      </c>
      <c r="S39" s="110"/>
      <c r="T39" s="110"/>
      <c r="U39" s="110"/>
      <c r="V39" s="110"/>
    </row>
    <row r="40" spans="1:38" ht="15.75" x14ac:dyDescent="0.25">
      <c r="A40" s="105" t="s">
        <v>68</v>
      </c>
      <c r="B40" s="97"/>
      <c r="C40" s="97"/>
      <c r="D40" s="118">
        <v>317.58</v>
      </c>
      <c r="E40" s="118">
        <v>650.12699999999995</v>
      </c>
      <c r="F40" s="118">
        <v>994.74900000000002</v>
      </c>
      <c r="G40" s="118">
        <v>335.79699999999997</v>
      </c>
      <c r="H40" s="119">
        <v>374.04199999999997</v>
      </c>
      <c r="I40" s="119">
        <v>543.697</v>
      </c>
      <c r="J40" s="119">
        <v>657.89800000000002</v>
      </c>
      <c r="K40" s="119">
        <v>444.23500000000001</v>
      </c>
      <c r="L40" s="119">
        <v>1175.4203399999999</v>
      </c>
      <c r="M40" s="119">
        <v>1158.9923565319964</v>
      </c>
      <c r="N40" s="4">
        <v>1737.8814715324368</v>
      </c>
      <c r="O40" s="110">
        <v>887.31790136133543</v>
      </c>
      <c r="P40" s="110">
        <v>1437.9016481774256</v>
      </c>
      <c r="Q40" s="110">
        <f>+'Balança Comercial CIF'!N40</f>
        <v>2505.6263182395587</v>
      </c>
      <c r="R40" s="110">
        <f>+'Balança Comercial CIF'!AA40</f>
        <v>2248.1548099399729</v>
      </c>
      <c r="S40" s="110"/>
      <c r="T40" s="110"/>
      <c r="U40" s="110"/>
      <c r="V40" s="110"/>
    </row>
    <row r="41" spans="1:38" ht="15.75" x14ac:dyDescent="0.25">
      <c r="A41" s="105" t="s">
        <v>1</v>
      </c>
      <c r="B41" s="97"/>
      <c r="C41" s="97"/>
      <c r="D41" s="118">
        <v>298.66500000000002</v>
      </c>
      <c r="E41" s="118">
        <v>29.398</v>
      </c>
      <c r="F41" s="118">
        <v>0</v>
      </c>
      <c r="G41" s="118">
        <v>67.373000000000005</v>
      </c>
      <c r="H41" s="119">
        <v>0</v>
      </c>
      <c r="I41" s="119">
        <v>0</v>
      </c>
      <c r="J41" s="119">
        <v>20.564</v>
      </c>
      <c r="K41" s="119">
        <v>0</v>
      </c>
      <c r="L41" s="119">
        <v>0</v>
      </c>
      <c r="M41" s="119">
        <v>2.8208179825169974</v>
      </c>
      <c r="N41" s="4">
        <v>104.60468802330513</v>
      </c>
      <c r="O41" s="110">
        <v>508.13632992568546</v>
      </c>
      <c r="P41" s="110">
        <v>791.17285413698289</v>
      </c>
      <c r="Q41" s="110">
        <f>+'Balança Comercial CIF'!N41</f>
        <v>2001.0407382707865</v>
      </c>
      <c r="R41" s="110">
        <f>+'Balança Comercial CIF'!AA41</f>
        <v>877.68505882273485</v>
      </c>
      <c r="S41" s="110"/>
      <c r="T41" s="110"/>
      <c r="U41" s="110"/>
      <c r="V41" s="110"/>
    </row>
    <row r="42" spans="1:38" ht="15.75" x14ac:dyDescent="0.25">
      <c r="A42" s="105" t="s">
        <v>71</v>
      </c>
      <c r="B42" s="97"/>
      <c r="C42" s="97"/>
      <c r="D42" s="118">
        <v>36.85</v>
      </c>
      <c r="E42" s="118">
        <v>40.4</v>
      </c>
      <c r="F42" s="118">
        <v>284.40199999999999</v>
      </c>
      <c r="G42" s="118">
        <v>84.715000000000003</v>
      </c>
      <c r="H42" s="119">
        <v>65.257000000000005</v>
      </c>
      <c r="I42" s="119">
        <v>340.27699999999999</v>
      </c>
      <c r="J42" s="119">
        <v>683.274</v>
      </c>
      <c r="K42" s="119">
        <v>384.95</v>
      </c>
      <c r="L42" s="119">
        <v>167.45767000000001</v>
      </c>
      <c r="M42" s="119">
        <v>19.646102854699027</v>
      </c>
      <c r="N42" s="4">
        <v>135.03524402025721</v>
      </c>
      <c r="O42" s="110">
        <v>561.24461628793949</v>
      </c>
      <c r="P42" s="110">
        <v>806.63198240481415</v>
      </c>
      <c r="Q42" s="110">
        <f>+'Balança Comercial CIF'!N42</f>
        <v>1358.4865984501823</v>
      </c>
      <c r="R42" s="110">
        <f>+'Balança Comercial CIF'!AA42</f>
        <v>465.76279216479833</v>
      </c>
      <c r="S42" s="110"/>
      <c r="T42" s="110"/>
      <c r="U42" s="110"/>
      <c r="V42" s="110"/>
    </row>
    <row r="43" spans="1:38" ht="15.75" x14ac:dyDescent="0.25">
      <c r="A43" s="105" t="s">
        <v>72</v>
      </c>
      <c r="B43" s="97"/>
      <c r="C43" s="97"/>
      <c r="D43" s="118">
        <v>36.756</v>
      </c>
      <c r="E43" s="118">
        <v>30.409000000000002</v>
      </c>
      <c r="F43" s="118">
        <v>17.670000000000002</v>
      </c>
      <c r="G43" s="118">
        <v>145.77200000000002</v>
      </c>
      <c r="H43" s="119">
        <v>13.556000000000001</v>
      </c>
      <c r="I43" s="119">
        <v>14.739999999999998</v>
      </c>
      <c r="J43" s="119">
        <v>74.012</v>
      </c>
      <c r="K43" s="119">
        <v>101.943</v>
      </c>
      <c r="L43" s="119">
        <v>14.315910000000001</v>
      </c>
      <c r="M43" s="119">
        <v>17.071052641616749</v>
      </c>
      <c r="N43" s="4">
        <v>106.42659443269238</v>
      </c>
      <c r="O43" s="110">
        <v>66.971796451984588</v>
      </c>
      <c r="P43" s="110">
        <v>64.020686245582354</v>
      </c>
      <c r="Q43" s="110">
        <f>+'Balança Comercial CIF'!N43</f>
        <v>17.273723432986117</v>
      </c>
      <c r="R43" s="110">
        <f>+'Balança Comercial CIF'!AA43</f>
        <v>48.683268583860688</v>
      </c>
      <c r="S43" s="110"/>
      <c r="T43" s="110"/>
      <c r="U43" s="110"/>
      <c r="V43" s="110"/>
    </row>
    <row r="44" spans="1:38" ht="15.75" x14ac:dyDescent="0.25">
      <c r="A44" s="105" t="s">
        <v>76</v>
      </c>
      <c r="B44" s="97"/>
      <c r="C44" s="97"/>
      <c r="D44" s="118">
        <v>1.5369999999999999</v>
      </c>
      <c r="E44" s="118">
        <v>0.3</v>
      </c>
      <c r="F44" s="118">
        <v>4.3919999999999995</v>
      </c>
      <c r="G44" s="118">
        <v>38.131</v>
      </c>
      <c r="H44" s="119">
        <v>52.084000000000003</v>
      </c>
      <c r="I44" s="119">
        <v>36.969000000000001</v>
      </c>
      <c r="J44" s="119">
        <v>3.1</v>
      </c>
      <c r="K44" s="119">
        <v>18.141000000000002</v>
      </c>
      <c r="L44" s="119">
        <v>33.131219999999999</v>
      </c>
      <c r="M44" s="119">
        <v>367.05902147818955</v>
      </c>
      <c r="N44" s="4">
        <v>32.941497151653934</v>
      </c>
      <c r="O44" s="110">
        <v>49.576615217950128</v>
      </c>
      <c r="P44" s="110">
        <v>36.66222757424913</v>
      </c>
      <c r="Q44" s="110">
        <f>+'Balança Comercial CIF'!N44</f>
        <v>42.279146571184377</v>
      </c>
      <c r="R44" s="110">
        <f>+'Balança Comercial CIF'!AA44</f>
        <v>39.117312177456157</v>
      </c>
      <c r="S44" s="110"/>
      <c r="T44" s="110"/>
      <c r="U44" s="110"/>
      <c r="V44" s="110"/>
    </row>
    <row r="45" spans="1:38" ht="15.75" x14ac:dyDescent="0.25">
      <c r="A45" s="105" t="s">
        <v>15</v>
      </c>
      <c r="B45" s="97"/>
      <c r="C45" s="97"/>
      <c r="D45" s="118">
        <v>1908.8430000000001</v>
      </c>
      <c r="E45" s="118">
        <v>2972.3980000000001</v>
      </c>
      <c r="F45" s="118">
        <v>2672.6240000000003</v>
      </c>
      <c r="G45" s="118">
        <v>1817.98</v>
      </c>
      <c r="H45" s="119">
        <v>1325.8789999999999</v>
      </c>
      <c r="I45" s="119">
        <v>1029.6559999999999</v>
      </c>
      <c r="J45" s="119">
        <v>522.5680000000001</v>
      </c>
      <c r="K45" s="119">
        <v>1586.8560000000002</v>
      </c>
      <c r="L45" s="119">
        <v>1662.1169300000001</v>
      </c>
      <c r="M45" s="119">
        <v>623.67524032165511</v>
      </c>
      <c r="N45" s="4">
        <v>2199.797637320974</v>
      </c>
      <c r="O45" s="110">
        <v>2468.5417397181768</v>
      </c>
      <c r="P45" s="110">
        <v>2020.0801385772052</v>
      </c>
      <c r="Q45" s="110">
        <f>+'Balança Comercial CIF'!N45</f>
        <v>2199.674967153584</v>
      </c>
      <c r="R45" s="110">
        <f>+'Balança Comercial CIF'!AA45</f>
        <v>3274.3922890620815</v>
      </c>
      <c r="S45" s="110"/>
      <c r="T45" s="110"/>
      <c r="U45" s="110"/>
      <c r="V45" s="110"/>
    </row>
    <row r="46" spans="1:38" ht="15.75" x14ac:dyDescent="0.25">
      <c r="A46" s="105" t="s">
        <v>2</v>
      </c>
      <c r="B46" s="97"/>
      <c r="C46" s="97"/>
      <c r="D46" s="118">
        <v>416.30199999999996</v>
      </c>
      <c r="E46" s="118">
        <v>970.87400000000002</v>
      </c>
      <c r="F46" s="118">
        <v>2203.5740000000001</v>
      </c>
      <c r="G46" s="118">
        <v>897.69700000000012</v>
      </c>
      <c r="H46" s="119">
        <v>1290.117</v>
      </c>
      <c r="I46" s="119">
        <v>1265.9280000000001</v>
      </c>
      <c r="J46" s="119">
        <v>1765.0059999999999</v>
      </c>
      <c r="K46" s="119">
        <v>2770.1909999999998</v>
      </c>
      <c r="L46" s="119">
        <v>2007.5237900000002</v>
      </c>
      <c r="M46" s="119">
        <v>2541.7077904844709</v>
      </c>
      <c r="N46" s="4">
        <v>776.24490864906431</v>
      </c>
      <c r="O46" s="110">
        <v>491.14150469835351</v>
      </c>
      <c r="P46" s="110">
        <v>431.97245492180804</v>
      </c>
      <c r="Q46" s="110">
        <f>+'Balança Comercial CIF'!N46</f>
        <v>113.04543278748461</v>
      </c>
      <c r="R46" s="110">
        <f>+'Balança Comercial CIF'!AA46</f>
        <v>464.68794795720862</v>
      </c>
      <c r="S46" s="110"/>
      <c r="T46" s="110"/>
      <c r="U46" s="110"/>
      <c r="V46" s="110"/>
    </row>
    <row r="47" spans="1:38" ht="15.75" x14ac:dyDescent="0.25">
      <c r="A47" s="105" t="s">
        <v>70</v>
      </c>
      <c r="B47" s="97"/>
      <c r="C47" s="97"/>
      <c r="D47" s="118">
        <v>0</v>
      </c>
      <c r="E47" s="118">
        <v>0</v>
      </c>
      <c r="F47" s="118">
        <v>189.83799999999999</v>
      </c>
      <c r="G47" s="118">
        <v>0</v>
      </c>
      <c r="H47" s="119">
        <v>0</v>
      </c>
      <c r="I47" s="119">
        <v>202.86699999999999</v>
      </c>
      <c r="J47" s="119">
        <v>0.66100000000000003</v>
      </c>
      <c r="K47" s="119">
        <v>0</v>
      </c>
      <c r="L47" s="119">
        <v>0</v>
      </c>
      <c r="M47" s="119">
        <v>839.2342591313909</v>
      </c>
      <c r="N47" s="4">
        <v>12.06539492128331</v>
      </c>
      <c r="O47" s="110">
        <v>29.361969318433985</v>
      </c>
      <c r="P47" s="110">
        <v>65.38248984115333</v>
      </c>
      <c r="Q47" s="110">
        <f>+'Balança Comercial CIF'!N47</f>
        <v>69.098272163309687</v>
      </c>
      <c r="R47" s="110">
        <f>+'Balança Comercial CIF'!AA47</f>
        <v>70.956038943424744</v>
      </c>
      <c r="S47" s="110"/>
      <c r="T47" s="110"/>
      <c r="U47" s="110"/>
      <c r="V47" s="110"/>
    </row>
    <row r="48" spans="1:38" ht="15.75" x14ac:dyDescent="0.25">
      <c r="A48" s="105" t="s">
        <v>87</v>
      </c>
      <c r="B48" s="97"/>
      <c r="C48" s="97"/>
      <c r="D48" s="118">
        <v>232.66199999999998</v>
      </c>
      <c r="E48" s="118">
        <v>135.30000000000001</v>
      </c>
      <c r="F48" s="118">
        <v>25.983000000000004</v>
      </c>
      <c r="G48" s="118">
        <v>42.333000000000006</v>
      </c>
      <c r="H48" s="119">
        <v>129.66999999999999</v>
      </c>
      <c r="I48" s="119">
        <v>325.18</v>
      </c>
      <c r="J48" s="119">
        <v>124.065</v>
      </c>
      <c r="K48" s="119">
        <v>261.733</v>
      </c>
      <c r="L48" s="119">
        <v>1075.4487200000001</v>
      </c>
      <c r="M48" s="119">
        <v>30.572201607886917</v>
      </c>
      <c r="N48" s="4">
        <v>632.93716868967158</v>
      </c>
      <c r="O48" s="110">
        <v>1216.7654327229927</v>
      </c>
      <c r="P48" s="110">
        <v>1031.0863892917398</v>
      </c>
      <c r="Q48" s="110">
        <f>+'Balança Comercial CIF'!N48</f>
        <v>1769.8557400188613</v>
      </c>
      <c r="R48" s="110">
        <f>+'Balança Comercial CIF'!AA48</f>
        <v>1422.5789193459968</v>
      </c>
      <c r="S48" s="110"/>
      <c r="T48" s="110"/>
      <c r="U48" s="110"/>
      <c r="V48" s="110"/>
    </row>
    <row r="49" spans="1:22" ht="15.75" x14ac:dyDescent="0.25">
      <c r="A49" s="105" t="s">
        <v>88</v>
      </c>
      <c r="B49" s="105"/>
      <c r="C49" s="105"/>
      <c r="D49" s="113">
        <f>SUM(D38:D48)</f>
        <v>3284.942</v>
      </c>
      <c r="E49" s="113">
        <f t="shared" ref="E49:O49" si="1">SUM(E38:E48)</f>
        <v>4955.8870000000006</v>
      </c>
      <c r="F49" s="113">
        <f t="shared" si="1"/>
        <v>6568.6910000000007</v>
      </c>
      <c r="G49" s="113">
        <f t="shared" si="1"/>
        <v>3519.6370000000002</v>
      </c>
      <c r="H49" s="113">
        <f t="shared" si="1"/>
        <v>3390.9139999999998</v>
      </c>
      <c r="I49" s="113">
        <f t="shared" si="1"/>
        <v>3820.953</v>
      </c>
      <c r="J49" s="113">
        <f t="shared" si="1"/>
        <v>3926.636</v>
      </c>
      <c r="K49" s="113">
        <f t="shared" si="1"/>
        <v>5631.4290000000001</v>
      </c>
      <c r="L49" s="113">
        <f t="shared" si="1"/>
        <v>6206.2189300000009</v>
      </c>
      <c r="M49" s="113">
        <f t="shared" si="1"/>
        <v>5727.5099218283167</v>
      </c>
      <c r="N49" s="113">
        <f t="shared" si="1"/>
        <v>5888.4000463461343</v>
      </c>
      <c r="O49" s="113">
        <f t="shared" si="1"/>
        <v>6366.744014015454</v>
      </c>
      <c r="P49" s="113">
        <f>SUM(P38:P48)</f>
        <v>6946.0208835069252</v>
      </c>
      <c r="Q49" s="113">
        <f>SUM(Q38:Q48)</f>
        <v>10265.354005470932</v>
      </c>
      <c r="R49" s="113">
        <f>SUM(R38:R48)</f>
        <v>9076.5092736293991</v>
      </c>
      <c r="S49" s="113"/>
      <c r="T49" s="113"/>
      <c r="U49" s="113"/>
      <c r="V49" s="113"/>
    </row>
    <row r="50" spans="1:22" x14ac:dyDescent="0.25">
      <c r="A50" s="120"/>
      <c r="B50" s="94"/>
      <c r="C50" s="94"/>
      <c r="D50" s="89"/>
      <c r="E50" s="89"/>
      <c r="F50" s="89"/>
      <c r="G50" s="89"/>
      <c r="H50" s="89"/>
      <c r="I50" s="89"/>
      <c r="J50" s="89"/>
      <c r="K50" s="89"/>
      <c r="L50" s="89"/>
    </row>
    <row r="51" spans="1:22" x14ac:dyDescent="0.25">
      <c r="A51" s="89"/>
      <c r="B51" s="89"/>
      <c r="C51" s="89"/>
      <c r="D51" s="96"/>
      <c r="E51" s="96"/>
      <c r="F51" s="96"/>
      <c r="G51" s="96"/>
      <c r="H51" s="96"/>
      <c r="I51" s="96"/>
      <c r="J51" s="96"/>
      <c r="K51" s="96"/>
      <c r="L51" s="96"/>
    </row>
    <row r="52" spans="1:22" ht="18.75" x14ac:dyDescent="0.3">
      <c r="B52" s="121" t="s">
        <v>91</v>
      </c>
      <c r="C52" s="121"/>
      <c r="D52" s="122"/>
      <c r="E52" s="122"/>
      <c r="F52" s="122"/>
      <c r="G52" s="122"/>
      <c r="H52" s="122"/>
      <c r="I52" s="122"/>
      <c r="J52" s="122"/>
      <c r="K52" s="122"/>
      <c r="L52" s="123"/>
    </row>
    <row r="53" spans="1:22" ht="15.75" x14ac:dyDescent="0.25">
      <c r="A53" s="105" t="s">
        <v>64</v>
      </c>
      <c r="B53" s="97"/>
      <c r="C53" s="97"/>
      <c r="D53" s="118">
        <f>D6+D38</f>
        <v>471.69600000000003</v>
      </c>
      <c r="E53" s="118">
        <f t="shared" ref="E53:Q54" si="2">E6+E38</f>
        <v>142.20000000000002</v>
      </c>
      <c r="F53" s="118">
        <f t="shared" si="2"/>
        <v>285.34100000000001</v>
      </c>
      <c r="G53" s="118">
        <f t="shared" si="2"/>
        <v>187.90300000000002</v>
      </c>
      <c r="H53" s="118">
        <f t="shared" si="2"/>
        <v>148.857</v>
      </c>
      <c r="I53" s="118">
        <f t="shared" si="2"/>
        <v>87.391999999999996</v>
      </c>
      <c r="J53" s="118">
        <f t="shared" si="2"/>
        <v>105.32000000000001</v>
      </c>
      <c r="K53" s="118">
        <f t="shared" si="2"/>
        <v>208.34399999999997</v>
      </c>
      <c r="L53" s="118">
        <f t="shared" si="2"/>
        <v>420.52874000000003</v>
      </c>
      <c r="M53" s="118">
        <f t="shared" si="2"/>
        <v>1829.7178181733325</v>
      </c>
      <c r="N53" s="118">
        <f t="shared" si="2"/>
        <v>83.833936313056086</v>
      </c>
      <c r="O53" s="118">
        <f t="shared" si="2"/>
        <v>151.28168829395</v>
      </c>
      <c r="P53" s="118">
        <f>P6+P38</f>
        <v>850.98368391812789</v>
      </c>
      <c r="Q53" s="118">
        <f>Q6+Q38</f>
        <v>409.19094106504929</v>
      </c>
      <c r="R53" s="118">
        <f>R6+R38</f>
        <v>162.71584607029641</v>
      </c>
      <c r="S53" s="118"/>
      <c r="T53" s="118"/>
      <c r="U53" s="118"/>
      <c r="V53" s="118"/>
    </row>
    <row r="54" spans="1:22" ht="15.75" x14ac:dyDescent="0.25">
      <c r="A54" s="105" t="s">
        <v>65</v>
      </c>
      <c r="B54" s="97"/>
      <c r="C54" s="97"/>
      <c r="D54" s="118">
        <f>D7+D39</f>
        <v>4304.4170000000004</v>
      </c>
      <c r="E54" s="118">
        <f t="shared" si="2"/>
        <v>3582.8240000000001</v>
      </c>
      <c r="F54" s="118">
        <f t="shared" si="2"/>
        <v>4311.2809999999999</v>
      </c>
      <c r="G54" s="118">
        <f t="shared" si="2"/>
        <v>6673.2420000000002</v>
      </c>
      <c r="H54" s="118">
        <f t="shared" si="2"/>
        <v>10225.290000000001</v>
      </c>
      <c r="I54" s="118">
        <f t="shared" si="2"/>
        <v>13017.013000000001</v>
      </c>
      <c r="J54" s="118">
        <f t="shared" si="2"/>
        <v>15964.398999999998</v>
      </c>
      <c r="K54" s="118">
        <f t="shared" si="2"/>
        <v>26178.565999999999</v>
      </c>
      <c r="L54" s="118">
        <f t="shared" si="2"/>
        <v>15166.897760000002</v>
      </c>
      <c r="M54" s="118">
        <f t="shared" si="2"/>
        <v>14310.691309686417</v>
      </c>
      <c r="N54" s="118">
        <f t="shared" si="2"/>
        <v>12701.869382838571</v>
      </c>
      <c r="O54" s="118">
        <f t="shared" si="2"/>
        <v>28881.024510488049</v>
      </c>
      <c r="P54" s="118">
        <f>P7+P39</f>
        <v>36578.376565213533</v>
      </c>
      <c r="Q54" s="118">
        <f t="shared" si="2"/>
        <v>40922.365754681174</v>
      </c>
      <c r="R54" s="118">
        <f>R7+R39</f>
        <v>32026.373822690053</v>
      </c>
      <c r="S54" s="118"/>
      <c r="T54" s="118"/>
      <c r="U54" s="118"/>
      <c r="V54" s="118"/>
    </row>
    <row r="55" spans="1:22" ht="15.75" x14ac:dyDescent="0.25">
      <c r="A55" s="105" t="s">
        <v>66</v>
      </c>
      <c r="B55" s="97"/>
      <c r="C55" s="97"/>
      <c r="D55" s="118">
        <f>+D8</f>
        <v>381.12</v>
      </c>
      <c r="E55" s="118">
        <f t="shared" ref="E55:O55" si="3">+E8</f>
        <v>0</v>
      </c>
      <c r="F55" s="118">
        <f t="shared" si="3"/>
        <v>36.872999999999998</v>
      </c>
      <c r="G55" s="118">
        <f t="shared" si="3"/>
        <v>0</v>
      </c>
      <c r="H55" s="118">
        <f t="shared" si="3"/>
        <v>0</v>
      </c>
      <c r="I55" s="118">
        <f t="shared" si="3"/>
        <v>61.185000000000002</v>
      </c>
      <c r="J55" s="118">
        <f t="shared" si="3"/>
        <v>32.933999999999997</v>
      </c>
      <c r="K55" s="118">
        <f t="shared" si="3"/>
        <v>126.06700000000001</v>
      </c>
      <c r="L55" s="118">
        <f t="shared" si="3"/>
        <v>220.84443999999999</v>
      </c>
      <c r="M55" s="118">
        <f t="shared" si="3"/>
        <v>179.55925770747703</v>
      </c>
      <c r="N55" s="118">
        <f t="shared" si="3"/>
        <v>0</v>
      </c>
      <c r="O55" s="118">
        <f t="shared" si="3"/>
        <v>0</v>
      </c>
      <c r="P55" s="118">
        <f t="shared" ref="P55:R56" si="4">P8</f>
        <v>0.01</v>
      </c>
      <c r="Q55" s="118">
        <f t="shared" si="4"/>
        <v>0</v>
      </c>
      <c r="R55" s="118">
        <f t="shared" si="4"/>
        <v>0</v>
      </c>
      <c r="S55" s="118"/>
      <c r="T55" s="118"/>
      <c r="U55" s="118"/>
      <c r="V55" s="118"/>
    </row>
    <row r="56" spans="1:22" ht="15.75" x14ac:dyDescent="0.25">
      <c r="A56" s="105" t="s">
        <v>67</v>
      </c>
      <c r="B56" s="97"/>
      <c r="C56" s="97"/>
      <c r="D56" s="118">
        <f>D9</f>
        <v>52.015000000000001</v>
      </c>
      <c r="E56" s="118">
        <f t="shared" ref="E56:O56" si="5">E9</f>
        <v>0</v>
      </c>
      <c r="F56" s="118">
        <f t="shared" si="5"/>
        <v>32.572000000000003</v>
      </c>
      <c r="G56" s="118">
        <f t="shared" si="5"/>
        <v>29.209000000000003</v>
      </c>
      <c r="H56" s="118">
        <f t="shared" si="5"/>
        <v>340.50300000000004</v>
      </c>
      <c r="I56" s="118">
        <f t="shared" si="5"/>
        <v>423.87599999999998</v>
      </c>
      <c r="J56" s="118">
        <f t="shared" si="5"/>
        <v>524.73900000000003</v>
      </c>
      <c r="K56" s="118">
        <f t="shared" si="5"/>
        <v>1083.6630000000002</v>
      </c>
      <c r="L56" s="118">
        <f t="shared" si="5"/>
        <v>10684.35396</v>
      </c>
      <c r="M56" s="118">
        <f t="shared" si="5"/>
        <v>447.06966129365333</v>
      </c>
      <c r="N56" s="118">
        <f t="shared" si="5"/>
        <v>1413.983813566444</v>
      </c>
      <c r="O56" s="118">
        <f t="shared" si="5"/>
        <v>603.66741336973473</v>
      </c>
      <c r="P56" s="118">
        <f t="shared" si="4"/>
        <v>354.46803625609346</v>
      </c>
      <c r="Q56" s="118">
        <f t="shared" si="4"/>
        <v>322.81061571410027</v>
      </c>
      <c r="R56" s="118">
        <f t="shared" si="4"/>
        <v>642.51968143030285</v>
      </c>
      <c r="S56" s="118"/>
      <c r="T56" s="118"/>
      <c r="U56" s="118"/>
      <c r="V56" s="118"/>
    </row>
    <row r="57" spans="1:22" ht="15.75" x14ac:dyDescent="0.25">
      <c r="A57" s="105" t="s">
        <v>68</v>
      </c>
      <c r="B57" s="97"/>
      <c r="C57" s="97"/>
      <c r="D57" s="118">
        <f>D40+D10</f>
        <v>3328.319</v>
      </c>
      <c r="E57" s="118">
        <f t="shared" ref="E57:O57" si="6">E40+E10</f>
        <v>5268.1730000000007</v>
      </c>
      <c r="F57" s="118">
        <f t="shared" si="6"/>
        <v>5842.7069999999994</v>
      </c>
      <c r="G57" s="118">
        <f t="shared" si="6"/>
        <v>3975.5660000000003</v>
      </c>
      <c r="H57" s="118">
        <f t="shared" si="6"/>
        <v>3432.24</v>
      </c>
      <c r="I57" s="118">
        <f t="shared" si="6"/>
        <v>3775.625</v>
      </c>
      <c r="J57" s="118">
        <f t="shared" si="6"/>
        <v>2450.0970000000002</v>
      </c>
      <c r="K57" s="118">
        <f t="shared" si="6"/>
        <v>2369.7169999999996</v>
      </c>
      <c r="L57" s="118">
        <f t="shared" si="6"/>
        <v>3138.3725100000001</v>
      </c>
      <c r="M57" s="118">
        <f t="shared" si="6"/>
        <v>3278.8825482606271</v>
      </c>
      <c r="N57" s="118">
        <f t="shared" si="6"/>
        <v>3999.9991147800347</v>
      </c>
      <c r="O57" s="118">
        <f t="shared" si="6"/>
        <v>5219.477663121851</v>
      </c>
      <c r="P57" s="118">
        <f>P10+P40</f>
        <v>4349.7883375075053</v>
      </c>
      <c r="Q57" s="118">
        <f>Q10+Q40</f>
        <v>5280.4997473624808</v>
      </c>
      <c r="R57" s="118">
        <f t="shared" ref="R57" si="7">R10+R40</f>
        <v>3918.9212762561547</v>
      </c>
      <c r="S57" s="118"/>
      <c r="T57" s="118"/>
      <c r="U57" s="118"/>
      <c r="V57" s="118"/>
    </row>
    <row r="58" spans="1:22" ht="15.75" x14ac:dyDescent="0.25">
      <c r="A58" s="105" t="s">
        <v>0</v>
      </c>
      <c r="B58" s="97"/>
      <c r="C58" s="97"/>
      <c r="D58" s="118">
        <f>D11</f>
        <v>20.795000000000002</v>
      </c>
      <c r="E58" s="118">
        <f t="shared" ref="E58:O59" si="8">E11</f>
        <v>0</v>
      </c>
      <c r="F58" s="118">
        <f t="shared" si="8"/>
        <v>285.68199999999996</v>
      </c>
      <c r="G58" s="118">
        <f t="shared" si="8"/>
        <v>33.597000000000001</v>
      </c>
      <c r="H58" s="118">
        <f t="shared" si="8"/>
        <v>90.635000000000005</v>
      </c>
      <c r="I58" s="118">
        <f t="shared" si="8"/>
        <v>245.76499999999999</v>
      </c>
      <c r="J58" s="118">
        <f t="shared" si="8"/>
        <v>1358.3879999999999</v>
      </c>
      <c r="K58" s="118">
        <f t="shared" si="8"/>
        <v>1030.403</v>
      </c>
      <c r="L58" s="118">
        <f t="shared" si="8"/>
        <v>1451.4671099999998</v>
      </c>
      <c r="M58" s="118">
        <f t="shared" si="8"/>
        <v>2803.6103397405018</v>
      </c>
      <c r="N58" s="118">
        <f t="shared" si="8"/>
        <v>2620.0703167836991</v>
      </c>
      <c r="O58" s="118">
        <f t="shared" si="8"/>
        <v>1790.3436317484543</v>
      </c>
      <c r="P58" s="118">
        <f>P11</f>
        <v>2427.0537171551914</v>
      </c>
      <c r="Q58" s="118">
        <f t="shared" ref="Q58:R58" si="9">Q11</f>
        <v>3931.0744926239577</v>
      </c>
      <c r="R58" s="118">
        <f t="shared" si="9"/>
        <v>4527.3591193304137</v>
      </c>
      <c r="S58" s="118"/>
      <c r="T58" s="118"/>
      <c r="U58" s="118"/>
      <c r="V58" s="118"/>
    </row>
    <row r="59" spans="1:22" ht="15.75" x14ac:dyDescent="0.25">
      <c r="A59" s="105" t="s">
        <v>69</v>
      </c>
      <c r="B59" s="97"/>
      <c r="C59" s="97"/>
      <c r="D59" s="124">
        <f>D12</f>
        <v>0.49399999999999999</v>
      </c>
      <c r="E59" s="124">
        <f t="shared" si="8"/>
        <v>0</v>
      </c>
      <c r="F59" s="124">
        <f t="shared" si="8"/>
        <v>3.1110000000000002</v>
      </c>
      <c r="G59" s="124">
        <f t="shared" si="8"/>
        <v>15.87</v>
      </c>
      <c r="H59" s="124">
        <f t="shared" si="8"/>
        <v>13.207000000000001</v>
      </c>
      <c r="I59" s="124">
        <f t="shared" si="8"/>
        <v>0</v>
      </c>
      <c r="J59" s="124">
        <f t="shared" si="8"/>
        <v>0</v>
      </c>
      <c r="K59" s="124">
        <f t="shared" si="8"/>
        <v>13.667999999999999</v>
      </c>
      <c r="L59" s="124">
        <f t="shared" si="8"/>
        <v>0</v>
      </c>
      <c r="M59" s="124">
        <f t="shared" si="8"/>
        <v>1.5256800000000001</v>
      </c>
      <c r="N59" s="124">
        <f t="shared" si="8"/>
        <v>27.895572880252512</v>
      </c>
      <c r="O59" s="124">
        <f t="shared" si="8"/>
        <v>423.74563538120219</v>
      </c>
      <c r="P59" s="118">
        <f>P12</f>
        <v>0.24015286038411543</v>
      </c>
      <c r="Q59" s="118">
        <f t="shared" ref="Q59:R59" si="10">Q12+Q44</f>
        <v>42.765687329341269</v>
      </c>
      <c r="R59" s="118">
        <f t="shared" si="10"/>
        <v>130.04975370995572</v>
      </c>
      <c r="S59" s="124"/>
      <c r="T59" s="124"/>
      <c r="U59" s="124"/>
      <c r="V59" s="124"/>
    </row>
    <row r="60" spans="1:22" ht="15.75" x14ac:dyDescent="0.25">
      <c r="A60" s="105" t="s">
        <v>1</v>
      </c>
      <c r="B60" s="97"/>
      <c r="C60" s="97"/>
      <c r="D60" s="125">
        <f>D41+D13</f>
        <v>415.22800000000007</v>
      </c>
      <c r="E60" s="125">
        <f t="shared" ref="E60:O60" si="11">E41+E13</f>
        <v>75.998000000000005</v>
      </c>
      <c r="F60" s="125">
        <f t="shared" si="11"/>
        <v>143.18799999999999</v>
      </c>
      <c r="G60" s="125">
        <f t="shared" si="11"/>
        <v>153.501</v>
      </c>
      <c r="H60" s="125">
        <f t="shared" si="11"/>
        <v>10.119</v>
      </c>
      <c r="I60" s="125">
        <f t="shared" si="11"/>
        <v>92.539000000000001</v>
      </c>
      <c r="J60" s="125">
        <f t="shared" si="11"/>
        <v>20.564</v>
      </c>
      <c r="K60" s="125">
        <f t="shared" si="11"/>
        <v>9.8330000000000002</v>
      </c>
      <c r="L60" s="125">
        <f t="shared" si="11"/>
        <v>41.868269999999995</v>
      </c>
      <c r="M60" s="125">
        <f t="shared" si="11"/>
        <v>9.2594193423060904</v>
      </c>
      <c r="N60" s="125">
        <f t="shared" si="11"/>
        <v>1665.8641292341658</v>
      </c>
      <c r="O60" s="125">
        <f t="shared" si="11"/>
        <v>4326.6313018622204</v>
      </c>
      <c r="P60" s="125">
        <f>P13+P41</f>
        <v>1236.7834906980938</v>
      </c>
      <c r="Q60" s="125">
        <f t="shared" ref="Q60:R60" si="12">Q13+Q41</f>
        <v>4042.7818514595328</v>
      </c>
      <c r="R60" s="125">
        <f t="shared" si="12"/>
        <v>3685.7231285443627</v>
      </c>
      <c r="S60" s="118"/>
      <c r="T60" s="118"/>
      <c r="U60" s="118"/>
      <c r="V60" s="118"/>
    </row>
    <row r="61" spans="1:22" ht="15.75" x14ac:dyDescent="0.25">
      <c r="A61" s="105" t="s">
        <v>70</v>
      </c>
      <c r="B61" s="97"/>
      <c r="C61" s="97"/>
      <c r="D61" s="118">
        <f>D47+D14</f>
        <v>38.323</v>
      </c>
      <c r="E61" s="118">
        <f t="shared" ref="E61:O61" si="13">E47+E14</f>
        <v>100.15900000000001</v>
      </c>
      <c r="F61" s="118">
        <f t="shared" si="13"/>
        <v>203.91499999999999</v>
      </c>
      <c r="G61" s="118">
        <f t="shared" si="13"/>
        <v>38.989000000000004</v>
      </c>
      <c r="H61" s="118">
        <f t="shared" si="13"/>
        <v>57.862000000000002</v>
      </c>
      <c r="I61" s="118">
        <f t="shared" si="13"/>
        <v>722.12299999999993</v>
      </c>
      <c r="J61" s="118">
        <f t="shared" si="13"/>
        <v>16.048999999999999</v>
      </c>
      <c r="K61" s="118">
        <f t="shared" si="13"/>
        <v>84.345000000000013</v>
      </c>
      <c r="L61" s="118">
        <f t="shared" si="13"/>
        <v>181.80939000000001</v>
      </c>
      <c r="M61" s="118">
        <f t="shared" si="13"/>
        <v>1001.6569307084159</v>
      </c>
      <c r="N61" s="118">
        <f t="shared" si="13"/>
        <v>6064.5396788971811</v>
      </c>
      <c r="O61" s="118">
        <f t="shared" si="13"/>
        <v>2585.8883456691692</v>
      </c>
      <c r="P61" s="118">
        <f>P14+P47</f>
        <v>3231.4859283552569</v>
      </c>
      <c r="Q61" s="118">
        <f t="shared" ref="Q61:R61" si="14">Q14+Q47</f>
        <v>3904.2053395741173</v>
      </c>
      <c r="R61" s="118">
        <f t="shared" si="14"/>
        <v>2152.4659684347344</v>
      </c>
      <c r="S61" s="118"/>
      <c r="T61" s="118"/>
      <c r="U61" s="118"/>
      <c r="V61" s="118"/>
    </row>
    <row r="62" spans="1:22" ht="15.75" x14ac:dyDescent="0.25">
      <c r="A62" s="105" t="s">
        <v>71</v>
      </c>
      <c r="B62" s="97"/>
      <c r="C62" s="97"/>
      <c r="D62" s="118">
        <f>D42+D15</f>
        <v>1742.086</v>
      </c>
      <c r="E62" s="118">
        <f t="shared" ref="E62:O63" si="15">E42+E15</f>
        <v>277.98699999999997</v>
      </c>
      <c r="F62" s="118">
        <f t="shared" si="15"/>
        <v>1564.652</v>
      </c>
      <c r="G62" s="118">
        <f t="shared" si="15"/>
        <v>299.49300000000005</v>
      </c>
      <c r="H62" s="118">
        <f t="shared" si="15"/>
        <v>230.20999999999998</v>
      </c>
      <c r="I62" s="118">
        <f t="shared" si="15"/>
        <v>1126.289</v>
      </c>
      <c r="J62" s="118">
        <f t="shared" si="15"/>
        <v>905.43100000000004</v>
      </c>
      <c r="K62" s="118">
        <f t="shared" si="15"/>
        <v>576.87299999999993</v>
      </c>
      <c r="L62" s="118">
        <f t="shared" si="15"/>
        <v>845.61906999999997</v>
      </c>
      <c r="M62" s="118">
        <f t="shared" si="15"/>
        <v>5834.4986660467712</v>
      </c>
      <c r="N62" s="118">
        <f t="shared" si="15"/>
        <v>3350.8054024081698</v>
      </c>
      <c r="O62" s="118">
        <f t="shared" si="15"/>
        <v>1388.9189406397315</v>
      </c>
      <c r="P62" s="118">
        <f>P15+P42</f>
        <v>1868.2872362335108</v>
      </c>
      <c r="Q62" s="118">
        <f t="shared" ref="Q62:R63" si="16">Q15+Q42</f>
        <v>2415.2865669324747</v>
      </c>
      <c r="R62" s="118">
        <f t="shared" si="16"/>
        <v>1250.5792995072143</v>
      </c>
      <c r="S62" s="118"/>
      <c r="T62" s="118"/>
      <c r="U62" s="118"/>
      <c r="V62" s="118"/>
    </row>
    <row r="63" spans="1:22" ht="15.75" x14ac:dyDescent="0.25">
      <c r="A63" s="105" t="s">
        <v>72</v>
      </c>
      <c r="B63" s="97"/>
      <c r="C63" s="97"/>
      <c r="D63" s="118">
        <f>D43+D16</f>
        <v>1189.1820000000002</v>
      </c>
      <c r="E63" s="118">
        <f t="shared" si="15"/>
        <v>963.67499999999984</v>
      </c>
      <c r="F63" s="118">
        <f t="shared" si="15"/>
        <v>1272.317</v>
      </c>
      <c r="G63" s="118">
        <f t="shared" si="15"/>
        <v>717.58400000000006</v>
      </c>
      <c r="H63" s="118">
        <f t="shared" si="15"/>
        <v>306.64099999999996</v>
      </c>
      <c r="I63" s="118">
        <f t="shared" si="15"/>
        <v>2520.0389999999998</v>
      </c>
      <c r="J63" s="118">
        <f t="shared" si="15"/>
        <v>1813.2349999999997</v>
      </c>
      <c r="K63" s="118">
        <f t="shared" si="15"/>
        <v>3472.6080000000006</v>
      </c>
      <c r="L63" s="118">
        <f t="shared" si="15"/>
        <v>2802.14147</v>
      </c>
      <c r="M63" s="118">
        <f t="shared" si="15"/>
        <v>6251.3150716792106</v>
      </c>
      <c r="N63" s="118">
        <f t="shared" si="15"/>
        <v>2795.4751346941466</v>
      </c>
      <c r="O63" s="118">
        <f t="shared" si="15"/>
        <v>2858.6083688598051</v>
      </c>
      <c r="P63" s="118">
        <f>P16+P43</f>
        <v>2138.8896970631245</v>
      </c>
      <c r="Q63" s="118">
        <f t="shared" si="16"/>
        <v>3458.8122199132308</v>
      </c>
      <c r="R63" s="118">
        <f t="shared" si="16"/>
        <v>2483.5609241062898</v>
      </c>
      <c r="S63" s="118"/>
      <c r="T63" s="118"/>
      <c r="U63" s="118"/>
      <c r="V63" s="118"/>
    </row>
    <row r="64" spans="1:22" ht="15.75" x14ac:dyDescent="0.25">
      <c r="A64" s="105" t="s">
        <v>73</v>
      </c>
      <c r="B64" s="97"/>
      <c r="C64" s="97"/>
      <c r="D64" s="118">
        <f>D17</f>
        <v>0</v>
      </c>
      <c r="E64" s="118">
        <f t="shared" ref="E64:O66" si="17">E17</f>
        <v>0</v>
      </c>
      <c r="F64" s="118">
        <f t="shared" si="17"/>
        <v>32.862000000000002</v>
      </c>
      <c r="G64" s="118">
        <f t="shared" si="17"/>
        <v>231.40300000000002</v>
      </c>
      <c r="H64" s="118">
        <f t="shared" si="17"/>
        <v>294.20300000000003</v>
      </c>
      <c r="I64" s="118">
        <f t="shared" si="17"/>
        <v>315.44299999999998</v>
      </c>
      <c r="J64" s="118">
        <f t="shared" si="17"/>
        <v>572.54700000000003</v>
      </c>
      <c r="K64" s="118">
        <f t="shared" si="17"/>
        <v>436.19899999999996</v>
      </c>
      <c r="L64" s="118">
        <f t="shared" si="17"/>
        <v>431.41147999999998</v>
      </c>
      <c r="M64" s="118">
        <f t="shared" si="17"/>
        <v>593.54983328933383</v>
      </c>
      <c r="N64" s="118">
        <f t="shared" si="17"/>
        <v>677.55097820882861</v>
      </c>
      <c r="O64" s="118">
        <f>O17</f>
        <v>1850.395517051903</v>
      </c>
      <c r="P64" s="118">
        <f>P17</f>
        <v>841.08609131284823</v>
      </c>
      <c r="Q64" s="118">
        <f>Q17</f>
        <v>1074.1411202621066</v>
      </c>
      <c r="R64" s="118">
        <f t="shared" ref="R64" si="18">R17</f>
        <v>660.71159841125871</v>
      </c>
      <c r="S64" s="118"/>
      <c r="T64" s="118"/>
      <c r="U64" s="118"/>
      <c r="V64" s="118"/>
    </row>
    <row r="65" spans="1:22" ht="15.75" x14ac:dyDescent="0.25">
      <c r="A65" s="105" t="s">
        <v>74</v>
      </c>
      <c r="B65" s="97"/>
      <c r="C65" s="97"/>
      <c r="D65" s="118">
        <f>D18</f>
        <v>39.487000000000002</v>
      </c>
      <c r="E65" s="118">
        <f t="shared" si="17"/>
        <v>0</v>
      </c>
      <c r="F65" s="118">
        <f t="shared" si="17"/>
        <v>191.85300000000001</v>
      </c>
      <c r="G65" s="118">
        <f t="shared" si="17"/>
        <v>0.79900000000000004</v>
      </c>
      <c r="H65" s="118">
        <f t="shared" si="17"/>
        <v>8.5340000000000007</v>
      </c>
      <c r="I65" s="118">
        <f t="shared" si="17"/>
        <v>0</v>
      </c>
      <c r="J65" s="118">
        <f t="shared" si="17"/>
        <v>2.722</v>
      </c>
      <c r="K65" s="118">
        <f t="shared" si="17"/>
        <v>330.50600000000003</v>
      </c>
      <c r="L65" s="118">
        <f t="shared" si="17"/>
        <v>152.92689000000001</v>
      </c>
      <c r="M65" s="118">
        <f t="shared" si="17"/>
        <v>74.274860368251382</v>
      </c>
      <c r="N65" s="118">
        <f t="shared" si="17"/>
        <v>193.70965792177185</v>
      </c>
      <c r="O65" s="118">
        <f t="shared" si="17"/>
        <v>638.9364816447885</v>
      </c>
      <c r="P65" s="118">
        <f>P18</f>
        <v>352.52213083467495</v>
      </c>
      <c r="Q65" s="118">
        <f t="shared" ref="Q65:R66" si="19">Q18</f>
        <v>237.8879960854602</v>
      </c>
      <c r="R65" s="118">
        <f t="shared" si="19"/>
        <v>180.70092102304321</v>
      </c>
      <c r="S65" s="118"/>
      <c r="T65" s="118"/>
      <c r="U65" s="118"/>
      <c r="V65" s="118"/>
    </row>
    <row r="66" spans="1:22" ht="15.75" x14ac:dyDescent="0.25">
      <c r="A66" s="105" t="s">
        <v>75</v>
      </c>
      <c r="B66" s="97"/>
      <c r="C66" s="97"/>
      <c r="D66" s="118">
        <f>D19</f>
        <v>1872.519</v>
      </c>
      <c r="E66" s="118">
        <f t="shared" si="17"/>
        <v>2175.7910000000002</v>
      </c>
      <c r="F66" s="118">
        <f t="shared" si="17"/>
        <v>1375.1109999999999</v>
      </c>
      <c r="G66" s="118">
        <f t="shared" si="17"/>
        <v>2498.92</v>
      </c>
      <c r="H66" s="118">
        <f t="shared" si="17"/>
        <v>3666.1489999999999</v>
      </c>
      <c r="I66" s="118">
        <f t="shared" si="17"/>
        <v>478.76000000000005</v>
      </c>
      <c r="J66" s="118">
        <f t="shared" si="17"/>
        <v>193.30399999999997</v>
      </c>
      <c r="K66" s="118">
        <f t="shared" si="17"/>
        <v>909.76</v>
      </c>
      <c r="L66" s="118">
        <f t="shared" si="17"/>
        <v>4451.6616899999999</v>
      </c>
      <c r="M66" s="118">
        <f t="shared" si="17"/>
        <v>1426.1226633970057</v>
      </c>
      <c r="N66" s="118">
        <f t="shared" si="17"/>
        <v>3260.931210330742</v>
      </c>
      <c r="O66" s="118">
        <f t="shared" si="17"/>
        <v>1940.7208574999213</v>
      </c>
      <c r="P66" s="118">
        <f>P19</f>
        <v>2160.3287918634842</v>
      </c>
      <c r="Q66" s="118">
        <f t="shared" si="19"/>
        <v>831.10875978045078</v>
      </c>
      <c r="R66" s="118">
        <f t="shared" si="19"/>
        <v>3112.7930253947652</v>
      </c>
      <c r="S66" s="118"/>
      <c r="T66" s="118"/>
      <c r="U66" s="118"/>
      <c r="V66" s="118"/>
    </row>
    <row r="67" spans="1:22" ht="15.75" x14ac:dyDescent="0.25">
      <c r="A67" s="105" t="s">
        <v>76</v>
      </c>
      <c r="B67" s="97"/>
      <c r="C67" s="97"/>
      <c r="D67" s="118">
        <f>D44+D20</f>
        <v>82.935000000000002</v>
      </c>
      <c r="E67" s="118">
        <f t="shared" ref="E67:O67" si="20">E44+E20</f>
        <v>204.44800000000001</v>
      </c>
      <c r="F67" s="118">
        <f t="shared" si="20"/>
        <v>211.27799999999999</v>
      </c>
      <c r="G67" s="118">
        <f t="shared" si="20"/>
        <v>156.28100000000001</v>
      </c>
      <c r="H67" s="118">
        <f t="shared" si="20"/>
        <v>143.315</v>
      </c>
      <c r="I67" s="118">
        <f t="shared" si="20"/>
        <v>554.78700000000003</v>
      </c>
      <c r="J67" s="118">
        <f t="shared" si="20"/>
        <v>587.50099999999998</v>
      </c>
      <c r="K67" s="118">
        <f t="shared" si="20"/>
        <v>2586.2649999999999</v>
      </c>
      <c r="L67" s="118">
        <f t="shared" si="20"/>
        <v>344.78348999999997</v>
      </c>
      <c r="M67" s="118">
        <f t="shared" si="20"/>
        <v>1181.5617272960883</v>
      </c>
      <c r="N67" s="118">
        <f t="shared" si="20"/>
        <v>1109.9205441263302</v>
      </c>
      <c r="O67" s="118">
        <f t="shared" si="20"/>
        <v>376.39604086631687</v>
      </c>
      <c r="P67" s="118">
        <f>P20+P44</f>
        <v>963.49144777353081</v>
      </c>
      <c r="Q67" s="118">
        <f t="shared" ref="Q67:R67" si="21">Q20+Q44</f>
        <v>654.42098451891707</v>
      </c>
      <c r="R67" s="118">
        <f t="shared" si="21"/>
        <v>489.33705249747362</v>
      </c>
      <c r="S67" s="118"/>
      <c r="T67" s="118"/>
      <c r="U67" s="118"/>
      <c r="V67" s="118"/>
    </row>
    <row r="68" spans="1:22" ht="15.75" x14ac:dyDescent="0.25">
      <c r="A68" s="105" t="s">
        <v>77</v>
      </c>
      <c r="B68" s="97"/>
      <c r="C68" s="97"/>
      <c r="D68" s="118">
        <f>D21</f>
        <v>0</v>
      </c>
      <c r="E68" s="118">
        <f t="shared" ref="E68:O68" si="22">E21</f>
        <v>0</v>
      </c>
      <c r="F68" s="118">
        <f t="shared" si="22"/>
        <v>16.34</v>
      </c>
      <c r="G68" s="118">
        <f t="shared" si="22"/>
        <v>16.274999999999999</v>
      </c>
      <c r="H68" s="118">
        <f t="shared" si="22"/>
        <v>28.777000000000001</v>
      </c>
      <c r="I68" s="118">
        <f t="shared" si="22"/>
        <v>84.935000000000002</v>
      </c>
      <c r="J68" s="118">
        <f t="shared" si="22"/>
        <v>93.831999999999994</v>
      </c>
      <c r="K68" s="118">
        <f t="shared" si="22"/>
        <v>91.832000000000008</v>
      </c>
      <c r="L68" s="118">
        <f t="shared" si="22"/>
        <v>232.03924999999998</v>
      </c>
      <c r="M68" s="118">
        <f t="shared" si="22"/>
        <v>258.95408056080322</v>
      </c>
      <c r="N68" s="118">
        <f t="shared" si="22"/>
        <v>673.5435569872086</v>
      </c>
      <c r="O68" s="118">
        <f t="shared" si="22"/>
        <v>750.55636487312381</v>
      </c>
      <c r="P68" s="118">
        <f>P21</f>
        <v>269.49608109240643</v>
      </c>
      <c r="Q68" s="118">
        <f t="shared" ref="Q68:R68" si="23">Q21</f>
        <v>443.21485058174505</v>
      </c>
      <c r="R68" s="118">
        <f t="shared" si="23"/>
        <v>463.98682964435397</v>
      </c>
      <c r="S68" s="118"/>
      <c r="T68" s="118"/>
      <c r="U68" s="118"/>
      <c r="V68" s="118"/>
    </row>
    <row r="69" spans="1:22" ht="15.75" x14ac:dyDescent="0.25">
      <c r="A69" s="105" t="s">
        <v>92</v>
      </c>
      <c r="B69" s="97"/>
      <c r="C69" s="97"/>
      <c r="D69" s="125">
        <f>D45+D22</f>
        <v>2145.0680000000002</v>
      </c>
      <c r="E69" s="125">
        <f t="shared" ref="E69:O70" si="24">E45+E22</f>
        <v>4759.8980000000001</v>
      </c>
      <c r="F69" s="125">
        <f t="shared" si="24"/>
        <v>2868.5650000000001</v>
      </c>
      <c r="G69" s="125">
        <f t="shared" si="24"/>
        <v>2239.9580000000001</v>
      </c>
      <c r="H69" s="125">
        <f t="shared" si="24"/>
        <v>1476.9169999999999</v>
      </c>
      <c r="I69" s="125">
        <f t="shared" si="24"/>
        <v>1592.5990000000002</v>
      </c>
      <c r="J69" s="125">
        <f t="shared" si="24"/>
        <v>1661.5709999999999</v>
      </c>
      <c r="K69" s="125">
        <f t="shared" si="24"/>
        <v>1733.7290000000003</v>
      </c>
      <c r="L69" s="125">
        <f t="shared" si="24"/>
        <v>2062.0650800000003</v>
      </c>
      <c r="M69" s="125">
        <f t="shared" si="24"/>
        <v>1193.5032811619058</v>
      </c>
      <c r="N69" s="125">
        <f t="shared" si="24"/>
        <v>2608.3881117711571</v>
      </c>
      <c r="O69" s="125">
        <f t="shared" si="24"/>
        <v>3024.5450471521708</v>
      </c>
      <c r="P69" s="125">
        <f>P22+P45</f>
        <v>2410.5284829605116</v>
      </c>
      <c r="Q69" s="125">
        <f t="shared" ref="Q69:R70" si="25">Q22+Q45</f>
        <v>3920.481528050595</v>
      </c>
      <c r="R69" s="125">
        <f t="shared" si="25"/>
        <v>4626.736865780098</v>
      </c>
      <c r="S69" s="118"/>
      <c r="T69" s="118"/>
      <c r="U69" s="118"/>
      <c r="V69" s="118"/>
    </row>
    <row r="70" spans="1:22" ht="15.75" x14ac:dyDescent="0.25">
      <c r="A70" s="105" t="s">
        <v>2</v>
      </c>
      <c r="B70" s="97"/>
      <c r="C70" s="97"/>
      <c r="D70" s="118">
        <f>D46+D23</f>
        <v>13548.228999999999</v>
      </c>
      <c r="E70" s="118">
        <f t="shared" si="24"/>
        <v>17971.634999999998</v>
      </c>
      <c r="F70" s="118">
        <f t="shared" si="24"/>
        <v>27556.224000000002</v>
      </c>
      <c r="G70" s="118">
        <f t="shared" si="24"/>
        <v>25859.188999999998</v>
      </c>
      <c r="H70" s="118">
        <f t="shared" si="24"/>
        <v>29674.805999999997</v>
      </c>
      <c r="I70" s="118">
        <f t="shared" si="24"/>
        <v>46316.299999999996</v>
      </c>
      <c r="J70" s="118">
        <f t="shared" si="24"/>
        <v>54091.957000000002</v>
      </c>
      <c r="K70" s="118">
        <f t="shared" si="24"/>
        <v>72697.275000000009</v>
      </c>
      <c r="L70" s="118">
        <f t="shared" si="24"/>
        <v>59678.025600000001</v>
      </c>
      <c r="M70" s="118">
        <f t="shared" si="24"/>
        <v>73781.082986927257</v>
      </c>
      <c r="N70" s="118">
        <f t="shared" si="24"/>
        <v>78231.21416171873</v>
      </c>
      <c r="O70" s="118">
        <f t="shared" si="24"/>
        <v>73630.316702471711</v>
      </c>
      <c r="P70" s="118">
        <f>P23+P46</f>
        <v>89917.834126923684</v>
      </c>
      <c r="Q70" s="118">
        <f t="shared" si="25"/>
        <v>102364.55972901428</v>
      </c>
      <c r="R70" s="118">
        <f t="shared" si="25"/>
        <v>82324.009777289917</v>
      </c>
      <c r="S70" s="118"/>
      <c r="T70" s="118"/>
      <c r="U70" s="118"/>
      <c r="V70" s="118"/>
    </row>
    <row r="71" spans="1:22" ht="15.75" x14ac:dyDescent="0.25">
      <c r="A71" s="105" t="s">
        <v>78</v>
      </c>
      <c r="B71" s="97"/>
      <c r="C71" s="97"/>
      <c r="D71" s="118">
        <f t="shared" ref="D71:R79" si="26">D24</f>
        <v>332.995</v>
      </c>
      <c r="E71" s="118">
        <f t="shared" si="26"/>
        <v>57.181296147958712</v>
      </c>
      <c r="F71" s="118">
        <f t="shared" si="26"/>
        <v>175.62199999999999</v>
      </c>
      <c r="G71" s="118">
        <f t="shared" si="26"/>
        <v>81.942000000000007</v>
      </c>
      <c r="H71" s="118">
        <f t="shared" si="26"/>
        <v>172.2</v>
      </c>
      <c r="I71" s="118">
        <f t="shared" si="26"/>
        <v>298.649</v>
      </c>
      <c r="J71" s="118">
        <f t="shared" si="26"/>
        <v>151.76400000000001</v>
      </c>
      <c r="K71" s="118">
        <f t="shared" si="26"/>
        <v>25.56</v>
      </c>
      <c r="L71" s="118">
        <f t="shared" si="26"/>
        <v>53.333959999999998</v>
      </c>
      <c r="M71" s="118">
        <f t="shared" si="26"/>
        <v>56.130571235967665</v>
      </c>
      <c r="N71" s="118">
        <f t="shared" si="26"/>
        <v>294.03213021345005</v>
      </c>
      <c r="O71" s="118">
        <f t="shared" si="26"/>
        <v>487.22254782675498</v>
      </c>
      <c r="P71" s="118">
        <f>P24</f>
        <v>259.5217564877895</v>
      </c>
      <c r="Q71" s="118">
        <f t="shared" ref="Q71:R72" si="27">Q24</f>
        <v>296.51070225025512</v>
      </c>
      <c r="R71" s="118">
        <f t="shared" si="27"/>
        <v>530.00917744833203</v>
      </c>
      <c r="S71" s="118"/>
      <c r="T71" s="118"/>
      <c r="U71" s="118"/>
      <c r="V71" s="118"/>
    </row>
    <row r="72" spans="1:22" ht="15.75" x14ac:dyDescent="0.25">
      <c r="A72" s="105" t="s">
        <v>79</v>
      </c>
      <c r="B72" s="97"/>
      <c r="C72" s="97"/>
      <c r="D72" s="118">
        <f t="shared" si="26"/>
        <v>17.917000000000002</v>
      </c>
      <c r="E72" s="118">
        <f t="shared" si="26"/>
        <v>9.9</v>
      </c>
      <c r="F72" s="118">
        <f t="shared" si="26"/>
        <v>5.2560000000000002</v>
      </c>
      <c r="G72" s="118">
        <f t="shared" si="26"/>
        <v>0</v>
      </c>
      <c r="H72" s="118">
        <f t="shared" si="26"/>
        <v>0.221</v>
      </c>
      <c r="I72" s="118">
        <f t="shared" si="26"/>
        <v>1.7110000000000001</v>
      </c>
      <c r="J72" s="118">
        <f t="shared" si="26"/>
        <v>14.156000000000001</v>
      </c>
      <c r="K72" s="118">
        <f t="shared" si="26"/>
        <v>0</v>
      </c>
      <c r="L72" s="118">
        <f t="shared" si="26"/>
        <v>0</v>
      </c>
      <c r="M72" s="118">
        <f t="shared" si="26"/>
        <v>0.10986</v>
      </c>
      <c r="N72" s="118">
        <f t="shared" si="26"/>
        <v>0</v>
      </c>
      <c r="O72" s="118">
        <f t="shared" si="26"/>
        <v>12.081331444816714</v>
      </c>
      <c r="P72" s="118">
        <f>P25</f>
        <v>22.800255049852577</v>
      </c>
      <c r="Q72" s="118">
        <f t="shared" si="27"/>
        <v>8.3576398033406925</v>
      </c>
      <c r="R72" s="118">
        <f>R25</f>
        <v>1.0075278999859689</v>
      </c>
      <c r="S72" s="118"/>
      <c r="T72" s="118"/>
      <c r="U72" s="118"/>
      <c r="V72" s="118"/>
    </row>
    <row r="73" spans="1:22" ht="15.75" x14ac:dyDescent="0.25">
      <c r="A73" s="105" t="s">
        <v>80</v>
      </c>
      <c r="B73" s="97"/>
      <c r="C73" s="97"/>
      <c r="D73" s="118">
        <f t="shared" si="26"/>
        <v>1.7370000000000001</v>
      </c>
      <c r="E73" s="118">
        <f t="shared" si="26"/>
        <v>2.1</v>
      </c>
      <c r="F73" s="118">
        <f t="shared" si="26"/>
        <v>41.003999999999998</v>
      </c>
      <c r="G73" s="118">
        <f t="shared" si="26"/>
        <v>155.124</v>
      </c>
      <c r="H73" s="118">
        <f t="shared" si="26"/>
        <v>9.197000000000001</v>
      </c>
      <c r="I73" s="118">
        <f t="shared" si="26"/>
        <v>84.614999999999995</v>
      </c>
      <c r="J73" s="118">
        <f t="shared" si="26"/>
        <v>66.198000000000008</v>
      </c>
      <c r="K73" s="118">
        <f t="shared" si="26"/>
        <v>15.094000000000001</v>
      </c>
      <c r="L73" s="118">
        <f t="shared" si="26"/>
        <v>17.573539999999998</v>
      </c>
      <c r="M73" s="118">
        <f t="shared" si="26"/>
        <v>32.005415468821553</v>
      </c>
      <c r="N73" s="118">
        <f t="shared" si="26"/>
        <v>13.121939216878923</v>
      </c>
      <c r="O73" s="118">
        <f t="shared" si="26"/>
        <v>188.0618133465392</v>
      </c>
      <c r="P73" s="118">
        <f>P26</f>
        <v>178.93633856883091</v>
      </c>
      <c r="Q73" s="118">
        <f t="shared" si="26"/>
        <v>12.097741282094034</v>
      </c>
      <c r="R73" s="118">
        <f t="shared" si="26"/>
        <v>57.273000224359109</v>
      </c>
      <c r="S73" s="118"/>
      <c r="T73" s="118"/>
      <c r="U73" s="118"/>
      <c r="V73" s="118"/>
    </row>
    <row r="74" spans="1:22" ht="15.75" x14ac:dyDescent="0.25">
      <c r="A74" s="105" t="s">
        <v>81</v>
      </c>
      <c r="B74" s="97"/>
      <c r="C74" s="97"/>
      <c r="D74" s="118">
        <f t="shared" si="26"/>
        <v>0</v>
      </c>
      <c r="E74" s="118">
        <f t="shared" si="26"/>
        <v>2.2999999999999998</v>
      </c>
      <c r="F74" s="118">
        <f t="shared" si="26"/>
        <v>91.671000000000006</v>
      </c>
      <c r="G74" s="118">
        <f t="shared" si="26"/>
        <v>174.61800000000002</v>
      </c>
      <c r="H74" s="118">
        <f t="shared" si="26"/>
        <v>371.68099999999993</v>
      </c>
      <c r="I74" s="118">
        <f t="shared" si="26"/>
        <v>77.513999999999996</v>
      </c>
      <c r="J74" s="118">
        <f t="shared" si="26"/>
        <v>123.36</v>
      </c>
      <c r="K74" s="118">
        <f t="shared" si="26"/>
        <v>169.64699999999999</v>
      </c>
      <c r="L74" s="118">
        <f t="shared" si="26"/>
        <v>292.20028000000002</v>
      </c>
      <c r="M74" s="118">
        <f t="shared" si="26"/>
        <v>2133.4868870950268</v>
      </c>
      <c r="N74" s="118">
        <f t="shared" si="26"/>
        <v>531.4321220193998</v>
      </c>
      <c r="O74" s="118">
        <f t="shared" si="26"/>
        <v>958.40732811235478</v>
      </c>
      <c r="P74" s="118">
        <f t="shared" si="26"/>
        <v>257.20041462547783</v>
      </c>
      <c r="Q74" s="118">
        <f t="shared" si="26"/>
        <v>52.549292844040728</v>
      </c>
      <c r="R74" s="118">
        <f t="shared" si="26"/>
        <v>53.356055736483917</v>
      </c>
      <c r="S74" s="118"/>
      <c r="T74" s="118"/>
      <c r="U74" s="118"/>
      <c r="V74" s="118"/>
    </row>
    <row r="75" spans="1:22" ht="15.75" x14ac:dyDescent="0.25">
      <c r="A75" s="105" t="s">
        <v>82</v>
      </c>
      <c r="B75" s="97"/>
      <c r="C75" s="97"/>
      <c r="D75" s="118">
        <f t="shared" si="26"/>
        <v>0</v>
      </c>
      <c r="E75" s="118">
        <f t="shared" si="26"/>
        <v>0</v>
      </c>
      <c r="F75" s="118">
        <f t="shared" si="26"/>
        <v>0</v>
      </c>
      <c r="G75" s="118">
        <f t="shared" si="26"/>
        <v>0</v>
      </c>
      <c r="H75" s="118">
        <f t="shared" si="26"/>
        <v>1391.3620000000001</v>
      </c>
      <c r="I75" s="118">
        <f t="shared" si="26"/>
        <v>638.755</v>
      </c>
      <c r="J75" s="118">
        <f t="shared" si="26"/>
        <v>0</v>
      </c>
      <c r="K75" s="118">
        <f t="shared" si="26"/>
        <v>0</v>
      </c>
      <c r="L75" s="118">
        <f t="shared" si="26"/>
        <v>0</v>
      </c>
      <c r="M75" s="118">
        <f t="shared" si="26"/>
        <v>0</v>
      </c>
      <c r="N75" s="118">
        <f t="shared" si="26"/>
        <v>0</v>
      </c>
      <c r="O75" s="118">
        <f t="shared" si="26"/>
        <v>26.200252865229295</v>
      </c>
      <c r="P75" s="118">
        <f>P28</f>
        <v>0</v>
      </c>
      <c r="Q75" s="118">
        <f t="shared" si="26"/>
        <v>0</v>
      </c>
      <c r="R75" s="118">
        <f t="shared" si="26"/>
        <v>45.65943206823183</v>
      </c>
      <c r="S75" s="118"/>
      <c r="T75" s="118"/>
      <c r="U75" s="118"/>
      <c r="V75" s="118"/>
    </row>
    <row r="76" spans="1:22" ht="15.75" x14ac:dyDescent="0.25">
      <c r="A76" s="105" t="s">
        <v>83</v>
      </c>
      <c r="B76" s="97"/>
      <c r="C76" s="97"/>
      <c r="D76" s="118">
        <f t="shared" si="26"/>
        <v>0</v>
      </c>
      <c r="E76" s="118">
        <f t="shared" si="26"/>
        <v>0</v>
      </c>
      <c r="F76" s="118">
        <f t="shared" si="26"/>
        <v>0</v>
      </c>
      <c r="G76" s="118">
        <f t="shared" si="26"/>
        <v>0</v>
      </c>
      <c r="H76" s="118">
        <f t="shared" si="26"/>
        <v>0</v>
      </c>
      <c r="I76" s="118">
        <f t="shared" si="26"/>
        <v>0</v>
      </c>
      <c r="J76" s="118">
        <f t="shared" si="26"/>
        <v>0</v>
      </c>
      <c r="K76" s="118">
        <f t="shared" si="26"/>
        <v>979.63900000000001</v>
      </c>
      <c r="L76" s="118">
        <f t="shared" si="26"/>
        <v>51.128579999999999</v>
      </c>
      <c r="M76" s="118">
        <f t="shared" si="26"/>
        <v>0</v>
      </c>
      <c r="N76" s="118">
        <f t="shared" si="26"/>
        <v>1787.9121221019695</v>
      </c>
      <c r="O76" s="118">
        <f t="shared" si="26"/>
        <v>99.317516511875695</v>
      </c>
      <c r="P76" s="118">
        <f>P29</f>
        <v>0</v>
      </c>
      <c r="Q76" s="118">
        <f t="shared" si="26"/>
        <v>78.579205202542198</v>
      </c>
      <c r="R76" s="118">
        <f t="shared" si="26"/>
        <v>1206.444883665715</v>
      </c>
      <c r="S76" s="118"/>
      <c r="T76" s="118"/>
      <c r="U76" s="118"/>
      <c r="V76" s="118"/>
    </row>
    <row r="77" spans="1:22" ht="15.75" x14ac:dyDescent="0.25">
      <c r="A77" s="105" t="s">
        <v>84</v>
      </c>
      <c r="B77" s="97"/>
      <c r="C77" s="97"/>
      <c r="D77" s="118">
        <f t="shared" si="26"/>
        <v>0</v>
      </c>
      <c r="E77" s="118">
        <f t="shared" si="26"/>
        <v>0</v>
      </c>
      <c r="F77" s="118">
        <f t="shared" si="26"/>
        <v>0</v>
      </c>
      <c r="G77" s="118">
        <f t="shared" si="26"/>
        <v>0</v>
      </c>
      <c r="H77" s="118">
        <f t="shared" si="26"/>
        <v>0</v>
      </c>
      <c r="I77" s="118">
        <f t="shared" si="26"/>
        <v>0</v>
      </c>
      <c r="J77" s="118">
        <f t="shared" si="26"/>
        <v>0</v>
      </c>
      <c r="K77" s="118">
        <f t="shared" si="26"/>
        <v>315.92999999999995</v>
      </c>
      <c r="L77" s="118">
        <f t="shared" si="26"/>
        <v>489.44015000000002</v>
      </c>
      <c r="M77" s="118">
        <f t="shared" si="26"/>
        <v>2102.6801519748556</v>
      </c>
      <c r="N77" s="118">
        <f t="shared" si="26"/>
        <v>1365.5740844820348</v>
      </c>
      <c r="O77" s="118">
        <f t="shared" si="26"/>
        <v>1359.5726185937672</v>
      </c>
      <c r="P77" s="118">
        <f>P30</f>
        <v>1252.634913277858</v>
      </c>
      <c r="Q77" s="118">
        <f t="shared" si="26"/>
        <v>1402.192192191239</v>
      </c>
      <c r="R77" s="118">
        <f t="shared" si="26"/>
        <v>1417.5788762527211</v>
      </c>
      <c r="S77" s="118"/>
      <c r="T77" s="118"/>
      <c r="U77" s="118"/>
      <c r="V77" s="118"/>
    </row>
    <row r="78" spans="1:22" ht="15.75" x14ac:dyDescent="0.25">
      <c r="A78" s="105" t="s">
        <v>85</v>
      </c>
      <c r="B78" s="97"/>
      <c r="C78" s="97"/>
      <c r="D78" s="118">
        <f t="shared" si="26"/>
        <v>0</v>
      </c>
      <c r="E78" s="118">
        <f t="shared" si="26"/>
        <v>0</v>
      </c>
      <c r="F78" s="118">
        <f t="shared" si="26"/>
        <v>0</v>
      </c>
      <c r="G78" s="118">
        <f t="shared" si="26"/>
        <v>0</v>
      </c>
      <c r="H78" s="118">
        <f t="shared" si="26"/>
        <v>0</v>
      </c>
      <c r="I78" s="118">
        <f t="shared" si="26"/>
        <v>259.351</v>
      </c>
      <c r="J78" s="118">
        <f t="shared" si="26"/>
        <v>421.22700000000003</v>
      </c>
      <c r="K78" s="118">
        <f t="shared" si="26"/>
        <v>367.46300000000008</v>
      </c>
      <c r="L78" s="118">
        <f t="shared" si="26"/>
        <v>197.97602000000001</v>
      </c>
      <c r="M78" s="118">
        <f t="shared" si="26"/>
        <v>468.71014196337819</v>
      </c>
      <c r="N78" s="118">
        <f t="shared" si="26"/>
        <v>361.39768607385668</v>
      </c>
      <c r="O78" s="118">
        <f t="shared" si="26"/>
        <v>370.63479179862213</v>
      </c>
      <c r="P78" s="118">
        <f>P31</f>
        <v>317.6198375791891</v>
      </c>
      <c r="Q78" s="118">
        <f t="shared" si="26"/>
        <v>375.37346560655277</v>
      </c>
      <c r="R78" s="118">
        <f t="shared" si="26"/>
        <v>375.6077015043719</v>
      </c>
      <c r="S78" s="118"/>
      <c r="T78" s="118"/>
      <c r="U78" s="118"/>
      <c r="V78" s="118"/>
    </row>
    <row r="79" spans="1:22" ht="15.75" x14ac:dyDescent="0.25">
      <c r="A79" s="105" t="s">
        <v>86</v>
      </c>
      <c r="B79" s="97"/>
      <c r="C79" s="97"/>
      <c r="D79" s="118">
        <f t="shared" si="26"/>
        <v>0</v>
      </c>
      <c r="E79" s="118">
        <f t="shared" si="26"/>
        <v>0</v>
      </c>
      <c r="F79" s="118">
        <f t="shared" si="26"/>
        <v>0</v>
      </c>
      <c r="G79" s="118">
        <f t="shared" si="26"/>
        <v>0</v>
      </c>
      <c r="H79" s="118">
        <f t="shared" si="26"/>
        <v>0</v>
      </c>
      <c r="I79" s="118">
        <f t="shared" si="26"/>
        <v>50.384999999999998</v>
      </c>
      <c r="J79" s="118">
        <f t="shared" si="26"/>
        <v>8.1720000000000006</v>
      </c>
      <c r="K79" s="118">
        <f t="shared" si="26"/>
        <v>4.3810000000000002</v>
      </c>
      <c r="L79" s="118">
        <f t="shared" si="26"/>
        <v>157.62123</v>
      </c>
      <c r="M79" s="118">
        <f t="shared" si="26"/>
        <v>189.08383181868899</v>
      </c>
      <c r="N79" s="118">
        <f t="shared" si="26"/>
        <v>29.686794493756377</v>
      </c>
      <c r="O79" s="118">
        <f t="shared" si="26"/>
        <v>34.014897985221467</v>
      </c>
      <c r="P79" s="118">
        <f>P32</f>
        <v>607.39671152654444</v>
      </c>
      <c r="Q79" s="118">
        <f t="shared" si="26"/>
        <v>169.03129688404141</v>
      </c>
      <c r="R79" s="118">
        <f t="shared" si="26"/>
        <v>17.143483354931021</v>
      </c>
      <c r="S79" s="118"/>
      <c r="T79" s="118"/>
      <c r="U79" s="118"/>
      <c r="V79" s="118"/>
    </row>
    <row r="80" spans="1:22" ht="15.75" x14ac:dyDescent="0.25">
      <c r="A80" s="105" t="s">
        <v>87</v>
      </c>
      <c r="B80" s="97"/>
      <c r="C80" s="97"/>
      <c r="D80" s="118">
        <f>D48+D33</f>
        <v>774.06799999999998</v>
      </c>
      <c r="E80" s="118">
        <f t="shared" ref="E80:R80" si="28">E48+E33</f>
        <v>497.50900000000001</v>
      </c>
      <c r="F80" s="118">
        <f t="shared" si="28"/>
        <v>733.22900000000004</v>
      </c>
      <c r="G80" s="118">
        <f t="shared" si="28"/>
        <v>1331.4610000000002</v>
      </c>
      <c r="H80" s="118">
        <f t="shared" si="28"/>
        <v>1032.008</v>
      </c>
      <c r="I80" s="118">
        <f t="shared" si="28"/>
        <v>1848.7299999999998</v>
      </c>
      <c r="J80" s="118">
        <f t="shared" si="28"/>
        <v>1837.4639999999999</v>
      </c>
      <c r="K80" s="118">
        <f t="shared" si="28"/>
        <v>3908.3280000000004</v>
      </c>
      <c r="L80" s="118">
        <f t="shared" si="28"/>
        <v>4903.936302000001</v>
      </c>
      <c r="M80" s="118">
        <f t="shared" si="28"/>
        <v>3337.7569007291545</v>
      </c>
      <c r="N80" s="118">
        <f t="shared" si="28"/>
        <v>11586.090945752434</v>
      </c>
      <c r="O80" s="118">
        <f t="shared" si="28"/>
        <v>3715.9672566887584</v>
      </c>
      <c r="P80" s="118">
        <f>P48+P33</f>
        <v>3859.3618682102024</v>
      </c>
      <c r="Q80" s="118">
        <f t="shared" si="28"/>
        <v>5356.8640306120687</v>
      </c>
      <c r="R80" s="118">
        <f t="shared" si="28"/>
        <v>4941.2816884635786</v>
      </c>
      <c r="S80" s="118"/>
      <c r="T80" s="118"/>
      <c r="U80" s="118"/>
      <c r="V80" s="118"/>
    </row>
    <row r="81" spans="1:39" ht="15.75" x14ac:dyDescent="0.25">
      <c r="A81" s="105" t="s">
        <v>93</v>
      </c>
      <c r="B81" s="105"/>
      <c r="C81" s="105"/>
      <c r="D81" s="113">
        <f>SUM(D53:D80)</f>
        <v>30758.63</v>
      </c>
      <c r="E81" s="113">
        <f t="shared" ref="E81:O81" si="29">SUM(E53:E80)</f>
        <v>36091.778296147961</v>
      </c>
      <c r="F81" s="113">
        <f>SUM(F53:F80)</f>
        <v>47280.65400000001</v>
      </c>
      <c r="G81" s="113">
        <f t="shared" si="29"/>
        <v>44870.924000000014</v>
      </c>
      <c r="H81" s="113">
        <f t="shared" si="29"/>
        <v>53124.933999999994</v>
      </c>
      <c r="I81" s="113">
        <f t="shared" si="29"/>
        <v>74674.37999999999</v>
      </c>
      <c r="J81" s="113">
        <f t="shared" si="29"/>
        <v>83016.931000000011</v>
      </c>
      <c r="K81" s="113">
        <f t="shared" si="29"/>
        <v>119725.69499999999</v>
      </c>
      <c r="L81" s="113">
        <f t="shared" si="29"/>
        <v>108470.02626200003</v>
      </c>
      <c r="M81" s="113">
        <f t="shared" si="29"/>
        <v>122776.79989592526</v>
      </c>
      <c r="N81" s="113">
        <f t="shared" si="29"/>
        <v>137448.8425278143</v>
      </c>
      <c r="O81" s="113">
        <f t="shared" si="29"/>
        <v>137692.93486616801</v>
      </c>
      <c r="P81" s="113">
        <f>SUM(P53:P80)</f>
        <v>156707.12609334776</v>
      </c>
      <c r="Q81" s="113">
        <f>SUM(Q53:Q80)</f>
        <v>182007.16375162522</v>
      </c>
      <c r="R81" s="113">
        <f>SUM(R53:R80)</f>
        <v>151483.90671673941</v>
      </c>
      <c r="S81" s="113"/>
      <c r="T81" s="113"/>
      <c r="U81" s="113"/>
      <c r="V81" s="113"/>
    </row>
    <row r="82" spans="1:39" ht="15.75" x14ac:dyDescent="0.25">
      <c r="A82" s="93"/>
      <c r="B82" s="93"/>
      <c r="C82" s="93"/>
      <c r="D82" s="3"/>
      <c r="E82" s="3"/>
      <c r="F82" s="3"/>
      <c r="G82" s="3"/>
      <c r="H82" s="3"/>
      <c r="I82" s="3"/>
      <c r="J82" s="3"/>
      <c r="K82" s="3"/>
      <c r="L82" s="3"/>
    </row>
    <row r="83" spans="1:39" ht="15.75" x14ac:dyDescent="0.25">
      <c r="A83" s="93"/>
      <c r="B83" s="93"/>
      <c r="C83" s="93"/>
    </row>
    <row r="84" spans="1:39" ht="16.5" thickBot="1" x14ac:dyDescent="0.3">
      <c r="B84" s="116" t="s">
        <v>94</v>
      </c>
      <c r="C84" s="116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</row>
    <row r="85" spans="1:39" ht="16.5" thickBot="1" x14ac:dyDescent="0.3">
      <c r="B85" s="93"/>
      <c r="C85" s="100" t="s">
        <v>49</v>
      </c>
      <c r="D85" s="100" t="s">
        <v>50</v>
      </c>
      <c r="E85" s="101" t="s">
        <v>51</v>
      </c>
      <c r="F85" s="101" t="s">
        <v>52</v>
      </c>
      <c r="G85" s="101" t="s">
        <v>53</v>
      </c>
      <c r="H85" s="101" t="s">
        <v>54</v>
      </c>
      <c r="I85" s="101" t="s">
        <v>55</v>
      </c>
      <c r="J85" s="101" t="s">
        <v>56</v>
      </c>
      <c r="K85" s="101" t="s">
        <v>57</v>
      </c>
      <c r="L85" s="126" t="s">
        <v>58</v>
      </c>
      <c r="M85" s="101" t="s">
        <v>59</v>
      </c>
      <c r="N85" s="126" t="s">
        <v>60</v>
      </c>
      <c r="O85" s="101" t="s">
        <v>61</v>
      </c>
      <c r="P85" s="101" t="s">
        <v>62</v>
      </c>
      <c r="Q85" s="101" t="s">
        <v>95</v>
      </c>
      <c r="R85" s="101" t="s">
        <v>96</v>
      </c>
      <c r="S85" s="104"/>
      <c r="T85" s="104"/>
      <c r="U85" s="104"/>
      <c r="V85" s="104"/>
      <c r="X85" s="117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17"/>
    </row>
    <row r="86" spans="1:39" ht="15.75" x14ac:dyDescent="0.25">
      <c r="A86" s="105" t="s">
        <v>64</v>
      </c>
      <c r="B86" s="97"/>
      <c r="C86" s="97"/>
      <c r="D86" s="127">
        <f>D53/$D$81*100</f>
        <v>1.5335403429866674</v>
      </c>
      <c r="E86" s="127">
        <f t="shared" ref="E86:E113" si="30">E53/$E$81*100</f>
        <v>0.39399554888426452</v>
      </c>
      <c r="F86" s="127">
        <f t="shared" ref="F86:F113" si="31">F53/$F$81*100</f>
        <v>0.60350476539516551</v>
      </c>
      <c r="G86" s="127">
        <f t="shared" ref="G86:G113" si="32">G53/$G$81*100</f>
        <v>0.41876338450262351</v>
      </c>
      <c r="H86" s="127">
        <f t="shared" ref="H86:H113" si="33">H53/$H$81*100</f>
        <v>0.28020175987418644</v>
      </c>
      <c r="I86" s="127">
        <f t="shared" ref="I86:I113" si="34">I53/$I$81*100</f>
        <v>0.11703076744661289</v>
      </c>
      <c r="J86" s="127">
        <f t="shared" ref="J86:J113" si="35">J53/$J$81*100</f>
        <v>0.12686568719337504</v>
      </c>
      <c r="K86" s="127">
        <f t="shared" ref="K86:K113" si="36">K53/$K$81*100</f>
        <v>0.17401778289948536</v>
      </c>
      <c r="L86" s="127">
        <f t="shared" ref="L86:L113" si="37">L53/$L$81*100</f>
        <v>0.3876911940486204</v>
      </c>
      <c r="M86" s="127">
        <f>M53/$M$81*100</f>
        <v>1.4902797757592128</v>
      </c>
      <c r="N86" s="127">
        <f t="shared" ref="N86:N113" si="38">N53/$N$81*100</f>
        <v>6.0992828147018674E-2</v>
      </c>
      <c r="O86" s="127">
        <f>O53/$O$81*100</f>
        <v>0.10986888211874465</v>
      </c>
      <c r="P86" s="127">
        <f>P53/$P$81*100</f>
        <v>0.54304083364480282</v>
      </c>
      <c r="Q86" s="127">
        <f>Q53/$Q$81*100</f>
        <v>0.2248213381443869</v>
      </c>
      <c r="R86" s="127">
        <f>R53/$R$81*100</f>
        <v>0.10741460898190305</v>
      </c>
      <c r="S86" s="127"/>
      <c r="T86" s="127"/>
      <c r="U86" s="127"/>
      <c r="V86" s="127"/>
      <c r="X86" s="11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17"/>
      <c r="AM86" s="117"/>
    </row>
    <row r="87" spans="1:39" ht="15.75" x14ac:dyDescent="0.25">
      <c r="A87" s="105" t="s">
        <v>65</v>
      </c>
      <c r="B87" s="97"/>
      <c r="C87" s="97"/>
      <c r="D87" s="127">
        <f>D54/$D$81*100</f>
        <v>13.994176593690943</v>
      </c>
      <c r="E87" s="127">
        <f t="shared" si="30"/>
        <v>9.9269810719811247</v>
      </c>
      <c r="F87" s="127">
        <f t="shared" si="31"/>
        <v>9.1184885048332855</v>
      </c>
      <c r="G87" s="127">
        <f t="shared" si="32"/>
        <v>14.87208509457037</v>
      </c>
      <c r="H87" s="127">
        <f t="shared" si="33"/>
        <v>19.24762861823038</v>
      </c>
      <c r="I87" s="127">
        <f t="shared" si="34"/>
        <v>17.431698796829654</v>
      </c>
      <c r="J87" s="127">
        <f t="shared" si="35"/>
        <v>19.230292914586297</v>
      </c>
      <c r="K87" s="127">
        <f t="shared" si="36"/>
        <v>21.865453359865651</v>
      </c>
      <c r="L87" s="127">
        <f t="shared" si="37"/>
        <v>13.982570376968162</v>
      </c>
      <c r="M87" s="127">
        <f t="shared" ref="M87:M113" si="39">M54/$M$81*100</f>
        <v>11.655859512397475</v>
      </c>
      <c r="N87" s="127">
        <f t="shared" si="38"/>
        <v>9.2411614017544075</v>
      </c>
      <c r="O87" s="127">
        <f t="shared" ref="O87:O113" si="40">O54/$O$81*100</f>
        <v>20.974950195200094</v>
      </c>
      <c r="P87" s="127">
        <f>P54/$P$81*100</f>
        <v>23.341871858095605</v>
      </c>
      <c r="Q87" s="127">
        <f>Q54/$Q$81*100</f>
        <v>22.483931352573347</v>
      </c>
      <c r="R87" s="127">
        <f t="shared" ref="R87:R113" si="41">R54/$R$81*100</f>
        <v>21.141766486506285</v>
      </c>
      <c r="S87" s="127"/>
      <c r="T87" s="127"/>
      <c r="U87" s="127"/>
      <c r="V87" s="127"/>
      <c r="X87" s="11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17"/>
      <c r="AM87" s="117"/>
    </row>
    <row r="88" spans="1:39" ht="15.75" x14ac:dyDescent="0.25">
      <c r="A88" s="105" t="s">
        <v>66</v>
      </c>
      <c r="B88" s="97"/>
      <c r="C88" s="97"/>
      <c r="D88" s="127">
        <f t="shared" ref="D88:D112" si="42">D55/$D$81*100</f>
        <v>1.2390668895201118</v>
      </c>
      <c r="E88" s="127">
        <f t="shared" si="30"/>
        <v>0</v>
      </c>
      <c r="F88" s="127">
        <f t="shared" si="31"/>
        <v>7.7987499919100089E-2</v>
      </c>
      <c r="G88" s="127">
        <f t="shared" si="32"/>
        <v>0</v>
      </c>
      <c r="H88" s="127">
        <f t="shared" si="33"/>
        <v>0</v>
      </c>
      <c r="I88" s="127">
        <f t="shared" si="34"/>
        <v>8.1935732174810177E-2</v>
      </c>
      <c r="J88" s="127">
        <f t="shared" si="35"/>
        <v>3.967142557943993E-2</v>
      </c>
      <c r="K88" s="127">
        <f t="shared" si="36"/>
        <v>0.10529652803435388</v>
      </c>
      <c r="L88" s="127">
        <f t="shared" si="37"/>
        <v>0.20359950818723804</v>
      </c>
      <c r="M88" s="127">
        <f t="shared" si="39"/>
        <v>0.14624852403685779</v>
      </c>
      <c r="N88" s="127">
        <f t="shared" si="38"/>
        <v>0</v>
      </c>
      <c r="O88" s="127">
        <f t="shared" si="40"/>
        <v>0</v>
      </c>
      <c r="P88" s="127">
        <f t="shared" ref="P88:P113" si="43">P55/$P$81*100</f>
        <v>6.3813307341512802E-6</v>
      </c>
      <c r="Q88" s="127">
        <f t="shared" ref="Q88:Q113" si="44">Q55/$Q$81*100</f>
        <v>0</v>
      </c>
      <c r="R88" s="127">
        <f t="shared" si="41"/>
        <v>0</v>
      </c>
      <c r="S88" s="127"/>
      <c r="T88" s="127"/>
      <c r="U88" s="127"/>
      <c r="V88" s="127"/>
      <c r="X88" s="11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17"/>
      <c r="AM88" s="117"/>
    </row>
    <row r="89" spans="1:39" ht="15.75" x14ac:dyDescent="0.25">
      <c r="A89" s="105" t="s">
        <v>67</v>
      </c>
      <c r="B89" s="97"/>
      <c r="C89" s="97"/>
      <c r="D89" s="127">
        <f t="shared" si="42"/>
        <v>0.16910701159316913</v>
      </c>
      <c r="E89" s="127">
        <f t="shared" si="30"/>
        <v>0</v>
      </c>
      <c r="F89" s="127">
        <f t="shared" si="31"/>
        <v>6.8890756037342446E-2</v>
      </c>
      <c r="G89" s="127">
        <f t="shared" si="32"/>
        <v>6.5095606232668607E-2</v>
      </c>
      <c r="H89" s="127">
        <f t="shared" si="33"/>
        <v>0.64094761981257253</v>
      </c>
      <c r="I89" s="127">
        <f t="shared" si="34"/>
        <v>0.56763243297098687</v>
      </c>
      <c r="J89" s="127">
        <f t="shared" si="35"/>
        <v>0.63208672457429194</v>
      </c>
      <c r="K89" s="127">
        <f t="shared" si="36"/>
        <v>0.90512149459646085</v>
      </c>
      <c r="L89" s="127">
        <f t="shared" si="37"/>
        <v>9.8500519712172476</v>
      </c>
      <c r="M89" s="127">
        <f t="shared" si="39"/>
        <v>0.36413203607898464</v>
      </c>
      <c r="N89" s="127">
        <f t="shared" si="38"/>
        <v>1.0287346095914258</v>
      </c>
      <c r="O89" s="127">
        <f t="shared" si="40"/>
        <v>0.43841567757741179</v>
      </c>
      <c r="P89" s="127">
        <f t="shared" si="43"/>
        <v>0.22619777740352592</v>
      </c>
      <c r="Q89" s="127">
        <f t="shared" si="44"/>
        <v>0.17736148899865362</v>
      </c>
      <c r="R89" s="127">
        <f t="shared" si="41"/>
        <v>0.42415045621430525</v>
      </c>
      <c r="S89" s="127"/>
      <c r="T89" s="127"/>
      <c r="U89" s="127"/>
      <c r="V89" s="127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</row>
    <row r="90" spans="1:39" ht="15.75" x14ac:dyDescent="0.25">
      <c r="A90" s="105" t="s">
        <v>68</v>
      </c>
      <c r="B90" s="97"/>
      <c r="C90" s="97"/>
      <c r="D90" s="127">
        <f t="shared" si="42"/>
        <v>10.820764773983756</v>
      </c>
      <c r="E90" s="127">
        <f t="shared" si="30"/>
        <v>14.596601355501143</v>
      </c>
      <c r="F90" s="127">
        <f t="shared" si="31"/>
        <v>12.357500384829699</v>
      </c>
      <c r="G90" s="127">
        <f t="shared" si="32"/>
        <v>8.860004754972282</v>
      </c>
      <c r="H90" s="127">
        <f t="shared" si="33"/>
        <v>6.460695085287071</v>
      </c>
      <c r="I90" s="127">
        <f t="shared" si="34"/>
        <v>5.0561183099210201</v>
      </c>
      <c r="J90" s="127">
        <f t="shared" si="35"/>
        <v>2.9513220622429417</v>
      </c>
      <c r="K90" s="127">
        <f t="shared" si="36"/>
        <v>1.9792885729333205</v>
      </c>
      <c r="L90" s="127">
        <f t="shared" si="37"/>
        <v>2.8933085186312493</v>
      </c>
      <c r="M90" s="127">
        <f t="shared" si="39"/>
        <v>2.6706043414065617</v>
      </c>
      <c r="N90" s="127">
        <f t="shared" si="38"/>
        <v>2.9101730078014958</v>
      </c>
      <c r="O90" s="127">
        <f t="shared" si="40"/>
        <v>3.7906648356322514</v>
      </c>
      <c r="P90" s="127">
        <f>P57/$P$81*100</f>
        <v>2.7757438005189443</v>
      </c>
      <c r="Q90" s="127">
        <f t="shared" si="44"/>
        <v>2.9012592903038019</v>
      </c>
      <c r="R90" s="127">
        <f>R57/$R$81*100</f>
        <v>2.5870215267052536</v>
      </c>
      <c r="S90" s="127"/>
      <c r="T90" s="127"/>
      <c r="U90" s="127"/>
      <c r="V90" s="127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</row>
    <row r="91" spans="1:39" ht="15.75" x14ac:dyDescent="0.25">
      <c r="A91" s="105" t="s">
        <v>0</v>
      </c>
      <c r="B91" s="97"/>
      <c r="C91" s="97"/>
      <c r="D91" s="127">
        <f t="shared" si="42"/>
        <v>6.7607042316254015E-2</v>
      </c>
      <c r="E91" s="127">
        <f t="shared" si="30"/>
        <v>0</v>
      </c>
      <c r="F91" s="127">
        <f t="shared" si="31"/>
        <v>0.6042259906134122</v>
      </c>
      <c r="G91" s="127">
        <f t="shared" si="32"/>
        <v>7.4874767455201038E-2</v>
      </c>
      <c r="H91" s="127">
        <f t="shared" si="33"/>
        <v>0.17060727077797408</v>
      </c>
      <c r="I91" s="127">
        <f t="shared" si="34"/>
        <v>0.32911555475920928</v>
      </c>
      <c r="J91" s="127">
        <f t="shared" si="35"/>
        <v>1.6362782671404701</v>
      </c>
      <c r="K91" s="127">
        <f t="shared" si="36"/>
        <v>0.8606364740668242</v>
      </c>
      <c r="L91" s="127">
        <f t="shared" si="37"/>
        <v>1.3381273703152847</v>
      </c>
      <c r="M91" s="127">
        <f t="shared" si="39"/>
        <v>2.283501721919003</v>
      </c>
      <c r="N91" s="127">
        <f t="shared" si="38"/>
        <v>1.9062149004663309</v>
      </c>
      <c r="O91" s="127">
        <f t="shared" si="40"/>
        <v>1.3002436424850674</v>
      </c>
      <c r="P91" s="127">
        <f t="shared" si="43"/>
        <v>1.5487832478718531</v>
      </c>
      <c r="Q91" s="127">
        <f t="shared" si="44"/>
        <v>2.1598460256149425</v>
      </c>
      <c r="R91" s="127">
        <f t="shared" si="41"/>
        <v>2.9886733300298016</v>
      </c>
      <c r="S91" s="127"/>
      <c r="T91" s="127"/>
      <c r="U91" s="127"/>
      <c r="V91" s="127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</row>
    <row r="92" spans="1:39" ht="15.75" x14ac:dyDescent="0.25">
      <c r="A92" s="105" t="s">
        <v>69</v>
      </c>
      <c r="B92" s="97"/>
      <c r="C92" s="97"/>
      <c r="D92" s="127">
        <f t="shared" si="42"/>
        <v>1.6060533255219756E-3</v>
      </c>
      <c r="E92" s="127">
        <f t="shared" si="30"/>
        <v>0</v>
      </c>
      <c r="F92" s="127">
        <f t="shared" si="31"/>
        <v>6.5798582227733129E-3</v>
      </c>
      <c r="G92" s="127">
        <f t="shared" si="32"/>
        <v>3.5368114995804396E-2</v>
      </c>
      <c r="H92" s="127">
        <f t="shared" si="33"/>
        <v>2.486026617934246E-2</v>
      </c>
      <c r="I92" s="127">
        <f t="shared" si="34"/>
        <v>0</v>
      </c>
      <c r="J92" s="127">
        <f t="shared" si="35"/>
        <v>0</v>
      </c>
      <c r="K92" s="127">
        <f t="shared" si="36"/>
        <v>1.141609576791348E-2</v>
      </c>
      <c r="L92" s="127">
        <f t="shared" si="37"/>
        <v>0</v>
      </c>
      <c r="M92" s="127">
        <f t="shared" si="39"/>
        <v>1.2426451913498968E-3</v>
      </c>
      <c r="N92" s="127">
        <f t="shared" si="38"/>
        <v>2.0295240299755549E-2</v>
      </c>
      <c r="O92" s="127">
        <f t="shared" si="40"/>
        <v>0.30774682505900969</v>
      </c>
      <c r="P92" s="127">
        <f t="shared" si="43"/>
        <v>1.5324948288634969E-4</v>
      </c>
      <c r="Q92" s="127">
        <f t="shared" si="44"/>
        <v>2.3496705540503426E-2</v>
      </c>
      <c r="R92" s="127">
        <f t="shared" si="41"/>
        <v>8.5850541175397907E-2</v>
      </c>
      <c r="S92" s="127"/>
      <c r="T92" s="127"/>
      <c r="U92" s="127"/>
      <c r="V92" s="127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</row>
    <row r="93" spans="1:39" ht="15.75" x14ac:dyDescent="0.25">
      <c r="A93" s="105" t="s">
        <v>1</v>
      </c>
      <c r="B93" s="97"/>
      <c r="C93" s="97"/>
      <c r="D93" s="127">
        <f t="shared" si="42"/>
        <v>1.3499560936231556</v>
      </c>
      <c r="E93" s="127">
        <f t="shared" si="30"/>
        <v>0.21056873223703471</v>
      </c>
      <c r="F93" s="127">
        <f t="shared" si="31"/>
        <v>0.30284691070474612</v>
      </c>
      <c r="G93" s="127">
        <f t="shared" si="32"/>
        <v>0.34209458222879463</v>
      </c>
      <c r="H93" s="127">
        <f t="shared" si="33"/>
        <v>1.9047553075548292E-2</v>
      </c>
      <c r="I93" s="127">
        <f t="shared" si="34"/>
        <v>0.12392335898871877</v>
      </c>
      <c r="J93" s="127">
        <f t="shared" si="35"/>
        <v>2.4770850659367301E-2</v>
      </c>
      <c r="K93" s="127">
        <f t="shared" si="36"/>
        <v>8.2129404218534707E-3</v>
      </c>
      <c r="L93" s="127">
        <f t="shared" si="37"/>
        <v>3.8598930453718878E-2</v>
      </c>
      <c r="M93" s="127">
        <f t="shared" si="39"/>
        <v>7.541668580835356E-3</v>
      </c>
      <c r="N93" s="127">
        <f t="shared" si="38"/>
        <v>1.2119884741096016</v>
      </c>
      <c r="O93" s="127">
        <f t="shared" si="40"/>
        <v>3.1422318843501529</v>
      </c>
      <c r="P93" s="127">
        <f t="shared" si="43"/>
        <v>0.78923245006826492</v>
      </c>
      <c r="Q93" s="127">
        <f t="shared" si="44"/>
        <v>2.2212212794967159</v>
      </c>
      <c r="R93" s="127">
        <f t="shared" si="41"/>
        <v>2.4330790038550543</v>
      </c>
      <c r="S93" s="127"/>
      <c r="T93" s="127"/>
      <c r="U93" s="127"/>
      <c r="V93" s="127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</row>
    <row r="94" spans="1:39" ht="15.75" x14ac:dyDescent="0.25">
      <c r="A94" s="105" t="s">
        <v>70</v>
      </c>
      <c r="B94" s="97"/>
      <c r="C94" s="97"/>
      <c r="D94" s="127">
        <f>D61/$D$81*100</f>
        <v>0.12459267529145478</v>
      </c>
      <c r="E94" s="127">
        <f t="shared" si="30"/>
        <v>0.27751195626370639</v>
      </c>
      <c r="F94" s="127">
        <f t="shared" si="31"/>
        <v>0.4312863354216715</v>
      </c>
      <c r="G94" s="127">
        <f t="shared" si="32"/>
        <v>8.6891457817984741E-2</v>
      </c>
      <c r="H94" s="127">
        <f t="shared" si="33"/>
        <v>0.10891684119551095</v>
      </c>
      <c r="I94" s="127">
        <f t="shared" si="34"/>
        <v>0.96702912029534105</v>
      </c>
      <c r="J94" s="127">
        <f t="shared" si="35"/>
        <v>1.9332201042218722E-2</v>
      </c>
      <c r="K94" s="127">
        <f t="shared" si="36"/>
        <v>7.0448536548482779E-2</v>
      </c>
      <c r="L94" s="127">
        <f t="shared" si="37"/>
        <v>0.16761256198173591</v>
      </c>
      <c r="M94" s="127">
        <f t="shared" si="39"/>
        <v>0.81583567217706832</v>
      </c>
      <c r="N94" s="129">
        <f t="shared" si="38"/>
        <v>4.4122158960123325</v>
      </c>
      <c r="O94" s="127">
        <f t="shared" si="40"/>
        <v>1.8780109147811748</v>
      </c>
      <c r="P94" s="130">
        <f t="shared" si="43"/>
        <v>2.0621180471590779</v>
      </c>
      <c r="Q94" s="127">
        <f t="shared" si="44"/>
        <v>2.1450833357866963</v>
      </c>
      <c r="R94" s="127">
        <f t="shared" si="41"/>
        <v>1.4209205552505604</v>
      </c>
      <c r="S94" s="127"/>
      <c r="T94" s="130"/>
      <c r="U94" s="130"/>
      <c r="V94" s="130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</row>
    <row r="95" spans="1:39" ht="15.75" x14ac:dyDescent="0.25">
      <c r="A95" s="105" t="s">
        <v>71</v>
      </c>
      <c r="B95" s="97"/>
      <c r="C95" s="97"/>
      <c r="D95" s="127">
        <f t="shared" si="42"/>
        <v>5.6637307968527857</v>
      </c>
      <c r="E95" s="127">
        <f t="shared" si="30"/>
        <v>0.7702225080709566</v>
      </c>
      <c r="F95" s="127">
        <f t="shared" si="31"/>
        <v>3.3092858656312152</v>
      </c>
      <c r="G95" s="127">
        <f t="shared" si="32"/>
        <v>0.66745449681401703</v>
      </c>
      <c r="H95" s="127">
        <f t="shared" si="33"/>
        <v>0.4333370089457429</v>
      </c>
      <c r="I95" s="127">
        <f t="shared" si="34"/>
        <v>1.5082669584936628</v>
      </c>
      <c r="J95" s="127">
        <f t="shared" si="35"/>
        <v>1.0906582417507098</v>
      </c>
      <c r="K95" s="127">
        <f t="shared" si="36"/>
        <v>0.4818289006382464</v>
      </c>
      <c r="L95" s="127">
        <f t="shared" si="37"/>
        <v>0.77958778027533593</v>
      </c>
      <c r="M95" s="127">
        <f t="shared" si="39"/>
        <v>4.7521182104375796</v>
      </c>
      <c r="N95" s="127">
        <f t="shared" si="38"/>
        <v>2.4378563986307102</v>
      </c>
      <c r="O95" s="127">
        <f t="shared" si="40"/>
        <v>1.0087074852385889</v>
      </c>
      <c r="P95" s="127">
        <f t="shared" si="43"/>
        <v>1.1922158760799455</v>
      </c>
      <c r="Q95" s="127">
        <f t="shared" si="44"/>
        <v>1.3270282977589158</v>
      </c>
      <c r="R95" s="127">
        <f t="shared" si="41"/>
        <v>0.8255525795526778</v>
      </c>
      <c r="S95" s="127"/>
      <c r="T95" s="127"/>
      <c r="U95" s="127"/>
      <c r="V95" s="127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</row>
    <row r="96" spans="1:39" ht="15.75" x14ac:dyDescent="0.25">
      <c r="A96" s="105" t="s">
        <v>72</v>
      </c>
      <c r="B96" s="97"/>
      <c r="C96" s="97"/>
      <c r="D96" s="127">
        <f t="shared" si="42"/>
        <v>3.866173493422822</v>
      </c>
      <c r="E96" s="127">
        <f t="shared" si="30"/>
        <v>2.6700679365052289</v>
      </c>
      <c r="F96" s="127">
        <f t="shared" si="31"/>
        <v>2.6909885806571112</v>
      </c>
      <c r="G96" s="127">
        <f t="shared" si="32"/>
        <v>1.5992182376275557</v>
      </c>
      <c r="H96" s="127">
        <f t="shared" si="33"/>
        <v>0.57720730533048747</v>
      </c>
      <c r="I96" s="127">
        <f t="shared" si="34"/>
        <v>3.3747036132071</v>
      </c>
      <c r="J96" s="127">
        <f t="shared" si="35"/>
        <v>2.1841749365560137</v>
      </c>
      <c r="K96" s="127">
        <f t="shared" si="36"/>
        <v>2.9004701121175374</v>
      </c>
      <c r="L96" s="127">
        <f t="shared" si="37"/>
        <v>2.5833325265651434</v>
      </c>
      <c r="M96" s="127">
        <f t="shared" si="39"/>
        <v>5.0916093895412562</v>
      </c>
      <c r="N96" s="127">
        <f t="shared" si="38"/>
        <v>2.0338295203384136</v>
      </c>
      <c r="O96" s="127">
        <f t="shared" si="40"/>
        <v>2.0760748339326613</v>
      </c>
      <c r="P96" s="127">
        <f t="shared" si="43"/>
        <v>1.3648962560828437</v>
      </c>
      <c r="Q96" s="127">
        <f t="shared" si="44"/>
        <v>1.9003714736378587</v>
      </c>
      <c r="R96" s="127">
        <f t="shared" si="41"/>
        <v>1.6394882980872112</v>
      </c>
      <c r="S96" s="127"/>
      <c r="T96" s="127"/>
      <c r="U96" s="127"/>
      <c r="V96" s="127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</row>
    <row r="97" spans="1:37" ht="15.75" x14ac:dyDescent="0.25">
      <c r="A97" s="105" t="s">
        <v>73</v>
      </c>
      <c r="B97" s="97"/>
      <c r="C97" s="97"/>
      <c r="D97" s="127">
        <f t="shared" si="42"/>
        <v>0</v>
      </c>
      <c r="E97" s="127">
        <f t="shared" si="30"/>
        <v>0</v>
      </c>
      <c r="F97" s="127">
        <f t="shared" si="31"/>
        <v>6.9504114727347036E-2</v>
      </c>
      <c r="G97" s="127">
        <f t="shared" si="32"/>
        <v>0.51570812314896819</v>
      </c>
      <c r="H97" s="127">
        <f t="shared" si="33"/>
        <v>0.55379457036125457</v>
      </c>
      <c r="I97" s="127">
        <f t="shared" si="34"/>
        <v>0.42242466559481318</v>
      </c>
      <c r="J97" s="127">
        <f t="shared" si="35"/>
        <v>0.68967497726457738</v>
      </c>
      <c r="K97" s="127">
        <f t="shared" si="36"/>
        <v>0.36433198404068562</v>
      </c>
      <c r="L97" s="127">
        <f t="shared" si="37"/>
        <v>0.39772414082205776</v>
      </c>
      <c r="M97" s="127">
        <f t="shared" si="39"/>
        <v>0.48343810377243163</v>
      </c>
      <c r="N97" s="127">
        <f t="shared" si="38"/>
        <v>0.49294775114000594</v>
      </c>
      <c r="O97" s="127">
        <f t="shared" si="40"/>
        <v>1.3438565448912922</v>
      </c>
      <c r="P97" s="127">
        <f>P64/$P$81*100</f>
        <v>0.53672485245618473</v>
      </c>
      <c r="Q97" s="127">
        <f t="shared" si="44"/>
        <v>0.59016419910148454</v>
      </c>
      <c r="R97" s="127">
        <f>R64/$R$81*100</f>
        <v>0.4361595978949282</v>
      </c>
      <c r="S97" s="127"/>
      <c r="T97" s="127"/>
      <c r="U97" s="127"/>
      <c r="V97" s="127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</row>
    <row r="98" spans="1:37" ht="15.75" x14ac:dyDescent="0.25">
      <c r="A98" s="105" t="s">
        <v>74</v>
      </c>
      <c r="B98" s="97"/>
      <c r="C98" s="97"/>
      <c r="D98" s="127">
        <f t="shared" si="42"/>
        <v>0.12837697907871709</v>
      </c>
      <c r="E98" s="127">
        <f t="shared" si="30"/>
        <v>0</v>
      </c>
      <c r="F98" s="127">
        <f t="shared" si="31"/>
        <v>0.40577484397741187</v>
      </c>
      <c r="G98" s="127">
        <f t="shared" si="32"/>
        <v>1.7806631305386086E-3</v>
      </c>
      <c r="H98" s="127">
        <f t="shared" si="33"/>
        <v>1.6064019957182443E-2</v>
      </c>
      <c r="I98" s="127">
        <f t="shared" si="34"/>
        <v>0</v>
      </c>
      <c r="J98" s="127">
        <f t="shared" si="35"/>
        <v>3.2788492265511475E-3</v>
      </c>
      <c r="K98" s="127">
        <f t="shared" si="36"/>
        <v>0.2760526886062345</v>
      </c>
      <c r="L98" s="127">
        <f t="shared" si="37"/>
        <v>0.14098539040694821</v>
      </c>
      <c r="M98" s="127">
        <f t="shared" si="39"/>
        <v>6.0495843214037399E-2</v>
      </c>
      <c r="N98" s="127">
        <f t="shared" si="38"/>
        <v>0.14093218564759652</v>
      </c>
      <c r="O98" s="127">
        <f t="shared" si="40"/>
        <v>0.46402996803416896</v>
      </c>
      <c r="P98" s="127">
        <f t="shared" si="43"/>
        <v>0.22495603079638096</v>
      </c>
      <c r="Q98" s="127">
        <f t="shared" si="44"/>
        <v>0.13070254553831318</v>
      </c>
      <c r="R98" s="127">
        <f t="shared" si="41"/>
        <v>0.11928720676641701</v>
      </c>
      <c r="S98" s="127"/>
      <c r="T98" s="127"/>
      <c r="U98" s="127"/>
      <c r="V98" s="127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</row>
    <row r="99" spans="1:37" ht="15.75" x14ac:dyDescent="0.25">
      <c r="A99" s="105" t="s">
        <v>75</v>
      </c>
      <c r="B99" s="97"/>
      <c r="C99" s="97"/>
      <c r="D99" s="127">
        <f t="shared" si="42"/>
        <v>6.0877841438321534</v>
      </c>
      <c r="E99" s="127">
        <f t="shared" si="30"/>
        <v>6.0284948614799072</v>
      </c>
      <c r="F99" s="127">
        <f t="shared" si="31"/>
        <v>2.9084009709341152</v>
      </c>
      <c r="G99" s="127">
        <f t="shared" si="32"/>
        <v>5.5691297999568707</v>
      </c>
      <c r="H99" s="127">
        <f t="shared" si="33"/>
        <v>6.9009949264125208</v>
      </c>
      <c r="I99" s="127">
        <f t="shared" si="34"/>
        <v>0.64113019753227296</v>
      </c>
      <c r="J99" s="127">
        <f t="shared" si="35"/>
        <v>0.23284888717459329</v>
      </c>
      <c r="K99" s="127">
        <f t="shared" si="36"/>
        <v>0.7598703018595967</v>
      </c>
      <c r="L99" s="127">
        <f t="shared" si="37"/>
        <v>4.1040477663823864</v>
      </c>
      <c r="M99" s="127">
        <f t="shared" si="39"/>
        <v>1.161557122034369</v>
      </c>
      <c r="N99" s="127">
        <f t="shared" si="38"/>
        <v>2.3724690221897333</v>
      </c>
      <c r="O99" s="127">
        <f t="shared" si="40"/>
        <v>1.4094556553582245</v>
      </c>
      <c r="P99" s="127">
        <f t="shared" si="43"/>
        <v>1.3785772515390353</v>
      </c>
      <c r="Q99" s="127">
        <f t="shared" si="44"/>
        <v>0.45663519097227268</v>
      </c>
      <c r="R99" s="127">
        <f t="shared" si="41"/>
        <v>2.0548671425641234</v>
      </c>
      <c r="S99" s="127"/>
      <c r="T99" s="127"/>
      <c r="U99" s="127"/>
      <c r="V99" s="127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</row>
    <row r="100" spans="1:37" ht="15.75" x14ac:dyDescent="0.25">
      <c r="A100" s="105" t="s">
        <v>76</v>
      </c>
      <c r="B100" s="97"/>
      <c r="C100" s="97"/>
      <c r="D100" s="127">
        <f t="shared" si="42"/>
        <v>0.26963164484243934</v>
      </c>
      <c r="E100" s="127">
        <f t="shared" si="30"/>
        <v>0.56646696187264489</v>
      </c>
      <c r="F100" s="127">
        <f t="shared" si="31"/>
        <v>0.44685930105789134</v>
      </c>
      <c r="G100" s="127">
        <f t="shared" si="32"/>
        <v>0.34829013104343465</v>
      </c>
      <c r="H100" s="127">
        <f t="shared" si="33"/>
        <v>0.2697697469139444</v>
      </c>
      <c r="I100" s="127">
        <f t="shared" si="34"/>
        <v>0.7429415550554288</v>
      </c>
      <c r="J100" s="127">
        <f t="shared" si="35"/>
        <v>0.70768817026011221</v>
      </c>
      <c r="K100" s="127">
        <f t="shared" si="36"/>
        <v>2.1601586860698534</v>
      </c>
      <c r="L100" s="127">
        <f t="shared" si="37"/>
        <v>0.31786061263339704</v>
      </c>
      <c r="M100" s="127">
        <f t="shared" si="39"/>
        <v>0.96236563283752941</v>
      </c>
      <c r="N100" s="127">
        <f t="shared" si="38"/>
        <v>0.80751538078738316</v>
      </c>
      <c r="O100" s="127">
        <f t="shared" si="40"/>
        <v>0.27335900802184121</v>
      </c>
      <c r="P100" s="127">
        <f t="shared" si="43"/>
        <v>0.61483575877691443</v>
      </c>
      <c r="Q100" s="127">
        <f t="shared" si="44"/>
        <v>0.35955781686261973</v>
      </c>
      <c r="R100" s="127">
        <f t="shared" si="41"/>
        <v>0.32302906830392725</v>
      </c>
      <c r="S100" s="127"/>
      <c r="T100" s="127"/>
      <c r="U100" s="127"/>
      <c r="V100" s="127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</row>
    <row r="101" spans="1:37" ht="15.75" x14ac:dyDescent="0.25">
      <c r="A101" s="105" t="s">
        <v>77</v>
      </c>
      <c r="B101" s="97"/>
      <c r="C101" s="97"/>
      <c r="D101" s="127">
        <f t="shared" si="42"/>
        <v>0</v>
      </c>
      <c r="E101" s="127">
        <f t="shared" si="30"/>
        <v>0</v>
      </c>
      <c r="F101" s="127">
        <f t="shared" si="31"/>
        <v>3.4559589636810009E-2</v>
      </c>
      <c r="G101" s="127">
        <f t="shared" si="32"/>
        <v>3.6270703941822087E-2</v>
      </c>
      <c r="H101" s="127">
        <f t="shared" si="33"/>
        <v>5.416853788467766E-2</v>
      </c>
      <c r="I101" s="127">
        <f t="shared" si="34"/>
        <v>0.11374048234481493</v>
      </c>
      <c r="J101" s="127">
        <f t="shared" si="35"/>
        <v>0.1130275461520012</v>
      </c>
      <c r="K101" s="127">
        <f t="shared" si="36"/>
        <v>7.6701997845992881E-2</v>
      </c>
      <c r="L101" s="127">
        <f t="shared" si="37"/>
        <v>0.21392015655968322</v>
      </c>
      <c r="M101" s="127">
        <f t="shared" si="39"/>
        <v>0.21091450565604569</v>
      </c>
      <c r="N101" s="127">
        <f t="shared" si="38"/>
        <v>0.49003217822726269</v>
      </c>
      <c r="O101" s="127">
        <f t="shared" si="40"/>
        <v>0.54509431845768586</v>
      </c>
      <c r="P101" s="127">
        <f t="shared" si="43"/>
        <v>0.17197436250082987</v>
      </c>
      <c r="Q101" s="127">
        <f t="shared" si="44"/>
        <v>0.24351505811418228</v>
      </c>
      <c r="R101" s="127">
        <f t="shared" si="41"/>
        <v>0.3062944702845336</v>
      </c>
      <c r="S101" s="127"/>
      <c r="T101" s="127"/>
      <c r="U101" s="127"/>
      <c r="V101" s="127"/>
      <c r="Y101" s="131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</row>
    <row r="102" spans="1:37" ht="15.75" x14ac:dyDescent="0.25">
      <c r="A102" s="105" t="s">
        <v>15</v>
      </c>
      <c r="B102" s="97"/>
      <c r="C102" s="97"/>
      <c r="D102" s="127">
        <f t="shared" si="42"/>
        <v>6.9738736738274758</v>
      </c>
      <c r="E102" s="127">
        <f t="shared" si="30"/>
        <v>13.188316632511343</v>
      </c>
      <c r="F102" s="127">
        <f t="shared" si="31"/>
        <v>6.0671009330793089</v>
      </c>
      <c r="G102" s="127">
        <f t="shared" si="32"/>
        <v>4.9920032847997504</v>
      </c>
      <c r="H102" s="127">
        <f t="shared" si="33"/>
        <v>2.780082512667216</v>
      </c>
      <c r="I102" s="127">
        <f t="shared" si="34"/>
        <v>2.1327247711999755</v>
      </c>
      <c r="J102" s="127">
        <f t="shared" si="35"/>
        <v>2.0014844923621662</v>
      </c>
      <c r="K102" s="127">
        <f t="shared" si="36"/>
        <v>1.4480843063805144</v>
      </c>
      <c r="L102" s="127">
        <f t="shared" si="37"/>
        <v>1.9010459857539439</v>
      </c>
      <c r="M102" s="127">
        <f t="shared" si="39"/>
        <v>0.9720918627734294</v>
      </c>
      <c r="N102" s="127">
        <f t="shared" si="38"/>
        <v>1.897715589160615</v>
      </c>
      <c r="O102" s="127">
        <f t="shared" si="40"/>
        <v>2.1965869563982396</v>
      </c>
      <c r="P102" s="127">
        <f t="shared" si="43"/>
        <v>1.5382379493862972</v>
      </c>
      <c r="Q102" s="127">
        <f t="shared" si="44"/>
        <v>2.154025944495598</v>
      </c>
      <c r="R102" s="127">
        <f t="shared" si="41"/>
        <v>3.0542761710203701</v>
      </c>
      <c r="S102" s="127"/>
      <c r="T102" s="127"/>
      <c r="U102" s="127"/>
      <c r="V102" s="127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</row>
    <row r="103" spans="1:37" ht="15.75" x14ac:dyDescent="0.25">
      <c r="A103" s="105" t="s">
        <v>2</v>
      </c>
      <c r="B103" s="97"/>
      <c r="C103" s="97"/>
      <c r="D103" s="127">
        <f t="shared" si="42"/>
        <v>44.046919514945884</v>
      </c>
      <c r="E103" s="127">
        <f t="shared" si="30"/>
        <v>49.794262982930078</v>
      </c>
      <c r="F103" s="127">
        <f t="shared" si="31"/>
        <v>58.28223949694096</v>
      </c>
      <c r="G103" s="127">
        <f t="shared" si="32"/>
        <v>57.630168257734091</v>
      </c>
      <c r="H103" s="127">
        <f t="shared" si="33"/>
        <v>55.858527748947417</v>
      </c>
      <c r="I103" s="127">
        <f t="shared" si="34"/>
        <v>62.024351591536487</v>
      </c>
      <c r="J103" s="127">
        <f t="shared" si="35"/>
        <v>65.157741135961771</v>
      </c>
      <c r="K103" s="127">
        <f t="shared" si="36"/>
        <v>60.719860511145932</v>
      </c>
      <c r="L103" s="127">
        <f t="shared" si="37"/>
        <v>55.017987601342377</v>
      </c>
      <c r="M103" s="127">
        <f t="shared" si="39"/>
        <v>60.093668388058319</v>
      </c>
      <c r="N103" s="127">
        <f t="shared" si="38"/>
        <v>56.916604551171666</v>
      </c>
      <c r="O103" s="127">
        <f t="shared" si="40"/>
        <v>53.474288113647525</v>
      </c>
      <c r="P103" s="127">
        <f t="shared" si="43"/>
        <v>57.379543846245483</v>
      </c>
      <c r="Q103" s="127">
        <f t="shared" si="44"/>
        <v>56.24204982871187</v>
      </c>
      <c r="R103" s="127">
        <f t="shared" si="41"/>
        <v>54.345053254553335</v>
      </c>
      <c r="S103" s="127"/>
      <c r="T103" s="127"/>
      <c r="U103" s="127"/>
      <c r="V103" s="127"/>
      <c r="X103" s="132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</row>
    <row r="104" spans="1:37" ht="15.75" x14ac:dyDescent="0.25">
      <c r="A104" s="105" t="s">
        <v>78</v>
      </c>
      <c r="B104" s="97"/>
      <c r="C104" s="97"/>
      <c r="D104" s="127">
        <f t="shared" si="42"/>
        <v>1.0826067350854052</v>
      </c>
      <c r="E104" s="127">
        <f t="shared" si="30"/>
        <v>0.15843302504731835</v>
      </c>
      <c r="F104" s="127">
        <f t="shared" si="31"/>
        <v>0.37144579260684496</v>
      </c>
      <c r="G104" s="127">
        <f t="shared" si="32"/>
        <v>0.18261714423353526</v>
      </c>
      <c r="H104" s="127">
        <f t="shared" si="33"/>
        <v>0.32414157916883246</v>
      </c>
      <c r="I104" s="127">
        <f t="shared" si="34"/>
        <v>0.39993502456933699</v>
      </c>
      <c r="J104" s="127">
        <f t="shared" si="35"/>
        <v>0.18281090154970916</v>
      </c>
      <c r="K104" s="127">
        <f t="shared" si="36"/>
        <v>2.1348800689776744E-2</v>
      </c>
      <c r="L104" s="127">
        <f t="shared" si="37"/>
        <v>4.9169306801103187E-2</v>
      </c>
      <c r="M104" s="127">
        <f t="shared" si="39"/>
        <v>4.571757146590244E-2</v>
      </c>
      <c r="N104" s="127">
        <f t="shared" si="38"/>
        <v>0.21392113953520517</v>
      </c>
      <c r="O104" s="127">
        <f t="shared" si="40"/>
        <v>0.35384716601495614</v>
      </c>
      <c r="P104" s="127">
        <f t="shared" si="43"/>
        <v>0.16560941608564556</v>
      </c>
      <c r="Q104" s="127">
        <f t="shared" si="44"/>
        <v>0.16291155586320016</v>
      </c>
      <c r="R104" s="127">
        <f t="shared" si="41"/>
        <v>0.34987820748470599</v>
      </c>
      <c r="S104" s="127"/>
      <c r="T104" s="127"/>
      <c r="U104" s="127"/>
      <c r="V104" s="127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</row>
    <row r="105" spans="1:37" ht="15.75" x14ac:dyDescent="0.25">
      <c r="A105" s="105" t="s">
        <v>79</v>
      </c>
      <c r="B105" s="97"/>
      <c r="C105" s="97"/>
      <c r="D105" s="127">
        <f t="shared" si="42"/>
        <v>5.8250318691047034E-2</v>
      </c>
      <c r="E105" s="127">
        <f t="shared" si="30"/>
        <v>2.743006985903107E-2</v>
      </c>
      <c r="F105" s="127">
        <f t="shared" si="31"/>
        <v>1.1116597498841703E-2</v>
      </c>
      <c r="G105" s="127">
        <f t="shared" si="32"/>
        <v>0</v>
      </c>
      <c r="H105" s="127">
        <f t="shared" si="33"/>
        <v>4.1600051681946567E-4</v>
      </c>
      <c r="I105" s="127">
        <f t="shared" si="34"/>
        <v>2.2912811596159221E-3</v>
      </c>
      <c r="J105" s="127">
        <f t="shared" si="35"/>
        <v>1.705194329575975E-2</v>
      </c>
      <c r="K105" s="127">
        <f t="shared" si="36"/>
        <v>0</v>
      </c>
      <c r="L105" s="127">
        <f t="shared" si="37"/>
        <v>0</v>
      </c>
      <c r="M105" s="127">
        <f t="shared" si="39"/>
        <v>8.947944570401371E-5</v>
      </c>
      <c r="N105" s="127">
        <f t="shared" si="38"/>
        <v>0</v>
      </c>
      <c r="O105" s="127">
        <f t="shared" si="40"/>
        <v>8.774111363491004E-3</v>
      </c>
      <c r="P105" s="127">
        <f t="shared" si="43"/>
        <v>1.4549596829611218E-2</v>
      </c>
      <c r="Q105" s="127">
        <f t="shared" si="44"/>
        <v>4.591929037884402E-3</v>
      </c>
      <c r="R105" s="127">
        <f t="shared" si="41"/>
        <v>6.6510556918098959E-4</v>
      </c>
      <c r="S105" s="127"/>
      <c r="T105" s="127"/>
      <c r="U105" s="127"/>
      <c r="V105" s="127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</row>
    <row r="106" spans="1:37" ht="15.75" x14ac:dyDescent="0.25">
      <c r="A106" s="105" t="s">
        <v>80</v>
      </c>
      <c r="B106" s="97"/>
      <c r="C106" s="97"/>
      <c r="D106" s="127">
        <f t="shared" si="42"/>
        <v>5.6471956000641119E-3</v>
      </c>
      <c r="E106" s="127">
        <f t="shared" si="30"/>
        <v>5.8184996670671979E-3</v>
      </c>
      <c r="F106" s="127">
        <f t="shared" si="31"/>
        <v>8.672468870671711E-2</v>
      </c>
      <c r="G106" s="127">
        <f t="shared" si="32"/>
        <v>0.34571162385691001</v>
      </c>
      <c r="H106" s="127">
        <f t="shared" si="33"/>
        <v>1.7312021507640843E-2</v>
      </c>
      <c r="I106" s="127">
        <f t="shared" si="34"/>
        <v>0.1133119551846296</v>
      </c>
      <c r="J106" s="127">
        <f t="shared" si="35"/>
        <v>7.974036043322294E-2</v>
      </c>
      <c r="K106" s="127">
        <f t="shared" si="36"/>
        <v>1.2607151706239836E-2</v>
      </c>
      <c r="L106" s="127">
        <f t="shared" si="37"/>
        <v>1.6201286756907959E-2</v>
      </c>
      <c r="M106" s="127">
        <f t="shared" si="39"/>
        <v>2.6067966827569806E-2</v>
      </c>
      <c r="N106" s="127">
        <f t="shared" si="38"/>
        <v>9.5467804424933973E-3</v>
      </c>
      <c r="O106" s="127">
        <f t="shared" si="40"/>
        <v>0.1365805831136708</v>
      </c>
      <c r="P106" s="127">
        <f t="shared" si="43"/>
        <v>0.11418519567657796</v>
      </c>
      <c r="Q106" s="127">
        <f t="shared" si="44"/>
        <v>6.6468489661226362E-3</v>
      </c>
      <c r="R106" s="127">
        <f t="shared" si="41"/>
        <v>3.7807976745314741E-2</v>
      </c>
      <c r="S106" s="127"/>
      <c r="T106" s="127"/>
      <c r="U106" s="127"/>
      <c r="V106" s="127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</row>
    <row r="107" spans="1:37" ht="15.75" x14ac:dyDescent="0.25">
      <c r="A107" s="105" t="s">
        <v>81</v>
      </c>
      <c r="B107" s="97"/>
      <c r="C107" s="97"/>
      <c r="D107" s="127">
        <f t="shared" si="42"/>
        <v>0</v>
      </c>
      <c r="E107" s="127">
        <f t="shared" si="30"/>
        <v>6.3726424925021679E-3</v>
      </c>
      <c r="F107" s="127">
        <f t="shared" si="31"/>
        <v>0.19388691197038008</v>
      </c>
      <c r="G107" s="127">
        <f t="shared" si="32"/>
        <v>0.38915623845856168</v>
      </c>
      <c r="H107" s="127">
        <f t="shared" si="33"/>
        <v>0.69963569272387227</v>
      </c>
      <c r="I107" s="127">
        <f t="shared" si="34"/>
        <v>0.10380266967064207</v>
      </c>
      <c r="J107" s="127">
        <f t="shared" si="35"/>
        <v>0.14859619419079703</v>
      </c>
      <c r="K107" s="127">
        <f t="shared" si="36"/>
        <v>0.1416964002589419</v>
      </c>
      <c r="L107" s="127">
        <f t="shared" si="37"/>
        <v>0.26938343252007274</v>
      </c>
      <c r="M107" s="127">
        <f t="shared" si="39"/>
        <v>1.7376954676319376</v>
      </c>
      <c r="N107" s="127">
        <f t="shared" si="38"/>
        <v>0.38663993981023059</v>
      </c>
      <c r="O107" s="127">
        <f t="shared" si="40"/>
        <v>0.69604684441063591</v>
      </c>
      <c r="P107" s="127">
        <f t="shared" si="43"/>
        <v>0.16412809106860141</v>
      </c>
      <c r="Q107" s="127">
        <f t="shared" si="44"/>
        <v>2.8872101383740998E-2</v>
      </c>
      <c r="R107" s="127">
        <f t="shared" si="41"/>
        <v>3.522226016804194E-2</v>
      </c>
      <c r="S107" s="127"/>
      <c r="T107" s="127"/>
      <c r="U107" s="127"/>
      <c r="V107" s="127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</row>
    <row r="108" spans="1:37" ht="15.75" x14ac:dyDescent="0.25">
      <c r="A108" s="105" t="s">
        <v>82</v>
      </c>
      <c r="B108" s="97"/>
      <c r="C108" s="97"/>
      <c r="D108" s="127">
        <f t="shared" si="42"/>
        <v>0</v>
      </c>
      <c r="E108" s="127">
        <f t="shared" si="30"/>
        <v>0</v>
      </c>
      <c r="F108" s="127">
        <f t="shared" si="31"/>
        <v>0</v>
      </c>
      <c r="G108" s="127">
        <f t="shared" si="32"/>
        <v>0</v>
      </c>
      <c r="H108" s="127">
        <f t="shared" si="33"/>
        <v>2.6190376067102505</v>
      </c>
      <c r="I108" s="127">
        <f t="shared" si="34"/>
        <v>0.85538708188805868</v>
      </c>
      <c r="J108" s="127">
        <f t="shared" si="35"/>
        <v>0</v>
      </c>
      <c r="K108" s="127">
        <f t="shared" si="36"/>
        <v>0</v>
      </c>
      <c r="L108" s="127">
        <f t="shared" si="37"/>
        <v>0</v>
      </c>
      <c r="M108" s="127">
        <f t="shared" si="39"/>
        <v>0</v>
      </c>
      <c r="N108" s="127">
        <f t="shared" si="38"/>
        <v>0</v>
      </c>
      <c r="O108" s="127">
        <f t="shared" si="40"/>
        <v>1.902802993537387E-2</v>
      </c>
      <c r="P108" s="127">
        <f t="shared" si="43"/>
        <v>0</v>
      </c>
      <c r="Q108" s="127">
        <f t="shared" si="44"/>
        <v>0</v>
      </c>
      <c r="R108" s="127">
        <f t="shared" si="41"/>
        <v>3.0141440802428376E-2</v>
      </c>
      <c r="S108" s="127"/>
      <c r="T108" s="127"/>
      <c r="U108" s="127"/>
      <c r="V108" s="127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</row>
    <row r="109" spans="1:37" ht="15.75" x14ac:dyDescent="0.25">
      <c r="A109" s="105" t="s">
        <v>83</v>
      </c>
      <c r="B109" s="97"/>
      <c r="C109" s="97"/>
      <c r="D109" s="127">
        <f t="shared" si="42"/>
        <v>0</v>
      </c>
      <c r="E109" s="127">
        <f t="shared" si="30"/>
        <v>0</v>
      </c>
      <c r="F109" s="127">
        <f t="shared" si="31"/>
        <v>0</v>
      </c>
      <c r="G109" s="127">
        <f t="shared" si="32"/>
        <v>0</v>
      </c>
      <c r="H109" s="127">
        <f t="shared" si="33"/>
        <v>0</v>
      </c>
      <c r="I109" s="127">
        <f t="shared" si="34"/>
        <v>0</v>
      </c>
      <c r="J109" s="127">
        <f t="shared" si="35"/>
        <v>0</v>
      </c>
      <c r="K109" s="127">
        <f t="shared" si="36"/>
        <v>0.81823621905055566</v>
      </c>
      <c r="L109" s="127">
        <f t="shared" si="37"/>
        <v>4.7136136831481268E-2</v>
      </c>
      <c r="M109" s="127">
        <f t="shared" si="39"/>
        <v>0</v>
      </c>
      <c r="N109" s="127">
        <f t="shared" si="38"/>
        <v>1.3007836873854837</v>
      </c>
      <c r="O109" s="127">
        <f t="shared" si="40"/>
        <v>7.2129711381639386E-2</v>
      </c>
      <c r="P109" s="127">
        <f t="shared" si="43"/>
        <v>0</v>
      </c>
      <c r="Q109" s="127">
        <f t="shared" si="44"/>
        <v>4.3173688102614877E-2</v>
      </c>
      <c r="R109" s="127">
        <f t="shared" si="41"/>
        <v>0.79641785706098323</v>
      </c>
      <c r="S109" s="127"/>
      <c r="T109" s="127"/>
      <c r="U109" s="127"/>
      <c r="V109" s="127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</row>
    <row r="110" spans="1:37" ht="15.75" x14ac:dyDescent="0.25">
      <c r="A110" s="105" t="s">
        <v>84</v>
      </c>
      <c r="B110" s="97"/>
      <c r="C110" s="97"/>
      <c r="D110" s="127">
        <f t="shared" si="42"/>
        <v>0</v>
      </c>
      <c r="E110" s="127">
        <f t="shared" si="30"/>
        <v>0</v>
      </c>
      <c r="F110" s="127">
        <f t="shared" si="31"/>
        <v>0</v>
      </c>
      <c r="G110" s="127">
        <f t="shared" si="32"/>
        <v>0</v>
      </c>
      <c r="H110" s="127">
        <f t="shared" si="33"/>
        <v>0</v>
      </c>
      <c r="I110" s="127">
        <f t="shared" si="34"/>
        <v>0</v>
      </c>
      <c r="J110" s="127">
        <f t="shared" si="35"/>
        <v>0</v>
      </c>
      <c r="K110" s="127">
        <f t="shared" si="36"/>
        <v>0.26387819256342593</v>
      </c>
      <c r="L110" s="127">
        <f t="shared" si="37"/>
        <v>0.45122156494901128</v>
      </c>
      <c r="M110" s="127">
        <f t="shared" si="39"/>
        <v>1.7126038093167792</v>
      </c>
      <c r="N110" s="127">
        <f t="shared" si="38"/>
        <v>0.99351443007291651</v>
      </c>
      <c r="O110" s="127">
        <f t="shared" si="40"/>
        <v>0.98739461099817283</v>
      </c>
      <c r="P110" s="127">
        <f t="shared" si="43"/>
        <v>0.79934776707709188</v>
      </c>
      <c r="Q110" s="127">
        <f t="shared" si="44"/>
        <v>0.77040494631559153</v>
      </c>
      <c r="R110" s="127">
        <f t="shared" si="41"/>
        <v>0.93579503392625041</v>
      </c>
      <c r="S110" s="127"/>
      <c r="T110" s="127"/>
      <c r="U110" s="127"/>
      <c r="V110" s="127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</row>
    <row r="111" spans="1:37" ht="15.75" x14ac:dyDescent="0.25">
      <c r="A111" s="105" t="s">
        <v>85</v>
      </c>
      <c r="B111" s="97"/>
      <c r="C111" s="97"/>
      <c r="D111" s="127">
        <f t="shared" si="42"/>
        <v>0</v>
      </c>
      <c r="E111" s="127">
        <f t="shared" si="30"/>
        <v>0</v>
      </c>
      <c r="F111" s="127">
        <f t="shared" si="31"/>
        <v>0</v>
      </c>
      <c r="G111" s="127">
        <f t="shared" si="32"/>
        <v>0</v>
      </c>
      <c r="H111" s="127">
        <f t="shared" si="33"/>
        <v>0</v>
      </c>
      <c r="I111" s="127">
        <f t="shared" si="34"/>
        <v>0.34730921100382761</v>
      </c>
      <c r="J111" s="127">
        <f t="shared" si="35"/>
        <v>0.50739890637489349</v>
      </c>
      <c r="K111" s="127">
        <f t="shared" si="36"/>
        <v>0.30692074913409367</v>
      </c>
      <c r="L111" s="127">
        <f t="shared" si="37"/>
        <v>0.18251679917713484</v>
      </c>
      <c r="M111" s="127">
        <f t="shared" si="39"/>
        <v>0.38175790732507425</v>
      </c>
      <c r="N111" s="127">
        <f t="shared" si="38"/>
        <v>0.26293250596179002</v>
      </c>
      <c r="O111" s="127">
        <f t="shared" si="40"/>
        <v>0.26917487971250248</v>
      </c>
      <c r="P111" s="127">
        <f t="shared" si="43"/>
        <v>0.20268372313202171</v>
      </c>
      <c r="Q111" s="127">
        <f t="shared" si="44"/>
        <v>0.20624103901690566</v>
      </c>
      <c r="R111" s="127">
        <f t="shared" si="41"/>
        <v>0.24795221462483324</v>
      </c>
      <c r="S111" s="127"/>
      <c r="T111" s="127"/>
      <c r="U111" s="127"/>
      <c r="V111" s="127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</row>
    <row r="112" spans="1:37" ht="15.75" x14ac:dyDescent="0.25">
      <c r="A112" s="105" t="s">
        <v>86</v>
      </c>
      <c r="B112" s="97"/>
      <c r="C112" s="97"/>
      <c r="D112" s="127">
        <f t="shared" si="42"/>
        <v>0</v>
      </c>
      <c r="E112" s="127">
        <f t="shared" si="30"/>
        <v>0</v>
      </c>
      <c r="F112" s="127">
        <f t="shared" si="31"/>
        <v>0</v>
      </c>
      <c r="G112" s="127">
        <f t="shared" si="32"/>
        <v>0</v>
      </c>
      <c r="H112" s="127">
        <f t="shared" si="33"/>
        <v>0</v>
      </c>
      <c r="I112" s="127">
        <f t="shared" si="34"/>
        <v>6.747294051855536E-2</v>
      </c>
      <c r="J112" s="127">
        <f t="shared" si="35"/>
        <v>9.8437751210051355E-3</v>
      </c>
      <c r="K112" s="127">
        <f t="shared" si="36"/>
        <v>3.6591978021092305E-3</v>
      </c>
      <c r="L112" s="127">
        <f t="shared" si="37"/>
        <v>0.14531316662474061</v>
      </c>
      <c r="M112" s="127">
        <f t="shared" si="39"/>
        <v>0.15400615749797233</v>
      </c>
      <c r="N112" s="127">
        <f t="shared" si="38"/>
        <v>2.1598431785810727E-2</v>
      </c>
      <c r="O112" s="127">
        <f t="shared" si="40"/>
        <v>2.4703444674400016E-2</v>
      </c>
      <c r="P112" s="127">
        <f t="shared" si="43"/>
        <v>0.38759993030867568</v>
      </c>
      <c r="Q112" s="127">
        <f t="shared" si="44"/>
        <v>9.2870683438981971E-2</v>
      </c>
      <c r="R112" s="127">
        <f t="shared" si="41"/>
        <v>1.1317032763742829E-2</v>
      </c>
      <c r="S112" s="127"/>
      <c r="T112" s="127"/>
      <c r="U112" s="127"/>
      <c r="V112" s="127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</row>
    <row r="113" spans="1:37" ht="15.75" x14ac:dyDescent="0.25">
      <c r="A113" s="133" t="s">
        <v>87</v>
      </c>
      <c r="B113" s="134"/>
      <c r="C113" s="134"/>
      <c r="D113" s="127">
        <f>D80/$D$81*100</f>
        <v>2.5165880274901711</v>
      </c>
      <c r="E113" s="135">
        <f t="shared" si="30"/>
        <v>1.3784552146966353</v>
      </c>
      <c r="F113" s="135">
        <f t="shared" si="31"/>
        <v>1.5508013065978317</v>
      </c>
      <c r="G113" s="135">
        <f t="shared" si="32"/>
        <v>2.967313532478181</v>
      </c>
      <c r="H113" s="135">
        <f t="shared" si="33"/>
        <v>1.9426057075195617</v>
      </c>
      <c r="I113" s="135">
        <f t="shared" si="34"/>
        <v>2.4757219276544378</v>
      </c>
      <c r="J113" s="135">
        <f t="shared" si="35"/>
        <v>2.2133605493077066</v>
      </c>
      <c r="K113" s="135">
        <f t="shared" si="36"/>
        <v>3.2644020149559383</v>
      </c>
      <c r="L113" s="135">
        <f t="shared" si="37"/>
        <v>4.5210059137949914</v>
      </c>
      <c r="M113" s="135">
        <f t="shared" si="39"/>
        <v>2.7185566846167073</v>
      </c>
      <c r="N113" s="127">
        <f t="shared" si="38"/>
        <v>8.4293841495302964</v>
      </c>
      <c r="O113" s="135">
        <f t="shared" si="40"/>
        <v>2.6987348772110411</v>
      </c>
      <c r="P113" s="135">
        <f t="shared" si="43"/>
        <v>2.4627864503821266</v>
      </c>
      <c r="Q113" s="127">
        <f t="shared" si="44"/>
        <v>2.9432160362227693</v>
      </c>
      <c r="R113" s="127">
        <f t="shared" si="41"/>
        <v>3.2619185731084346</v>
      </c>
      <c r="S113" s="127"/>
      <c r="T113" s="135"/>
      <c r="U113" s="135"/>
      <c r="V113" s="135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</row>
    <row r="114" spans="1:37" x14ac:dyDescent="0.25">
      <c r="N114" s="128"/>
    </row>
    <row r="116" spans="1:37" x14ac:dyDescent="0.25">
      <c r="B116" s="136"/>
    </row>
    <row r="117" spans="1:37" ht="15.75" x14ac:dyDescent="0.25">
      <c r="A117" s="105"/>
    </row>
    <row r="118" spans="1:37" ht="15.75" x14ac:dyDescent="0.25">
      <c r="A118" s="105"/>
    </row>
    <row r="119" spans="1:37" ht="15.75" x14ac:dyDescent="0.25">
      <c r="A119" s="105"/>
    </row>
    <row r="120" spans="1:37" ht="15.75" x14ac:dyDescent="0.25">
      <c r="A120" s="105"/>
    </row>
    <row r="121" spans="1:37" ht="15.75" x14ac:dyDescent="0.25">
      <c r="A121" s="105"/>
    </row>
    <row r="122" spans="1:37" ht="15.75" x14ac:dyDescent="0.25">
      <c r="A122" s="105"/>
    </row>
    <row r="123" spans="1:37" ht="15.75" x14ac:dyDescent="0.25">
      <c r="A123" s="105"/>
    </row>
    <row r="124" spans="1:37" ht="15.75" x14ac:dyDescent="0.25">
      <c r="A124" s="105"/>
    </row>
    <row r="125" spans="1:37" ht="15.75" x14ac:dyDescent="0.25">
      <c r="A125" s="105"/>
    </row>
    <row r="126" spans="1:37" ht="15.75" x14ac:dyDescent="0.25">
      <c r="A126" s="105"/>
    </row>
    <row r="127" spans="1:37" ht="15.75" x14ac:dyDescent="0.25">
      <c r="A127" s="105"/>
    </row>
    <row r="128" spans="1:37" ht="15.75" x14ac:dyDescent="0.25">
      <c r="A128" s="105"/>
    </row>
    <row r="129" spans="1:1" ht="15.75" x14ac:dyDescent="0.25">
      <c r="A129" s="105"/>
    </row>
    <row r="130" spans="1:1" ht="15.75" x14ac:dyDescent="0.25">
      <c r="A130" s="105"/>
    </row>
    <row r="131" spans="1:1" ht="15.75" x14ac:dyDescent="0.25">
      <c r="A131" s="105"/>
    </row>
    <row r="132" spans="1:1" ht="15.75" x14ac:dyDescent="0.25">
      <c r="A132" s="105"/>
    </row>
    <row r="133" spans="1:1" ht="15.75" x14ac:dyDescent="0.25">
      <c r="A133" s="105"/>
    </row>
    <row r="134" spans="1:1" ht="15.75" x14ac:dyDescent="0.25">
      <c r="A134" s="105"/>
    </row>
    <row r="135" spans="1:1" ht="15.75" x14ac:dyDescent="0.25">
      <c r="A135" s="105"/>
    </row>
    <row r="136" spans="1:1" ht="15.75" x14ac:dyDescent="0.25">
      <c r="A136" s="105"/>
    </row>
    <row r="137" spans="1:1" ht="15.75" x14ac:dyDescent="0.25">
      <c r="A137" s="105"/>
    </row>
    <row r="138" spans="1:1" ht="15.75" x14ac:dyDescent="0.25">
      <c r="A138" s="105"/>
    </row>
    <row r="139" spans="1:1" ht="15.75" x14ac:dyDescent="0.25">
      <c r="A139" s="105"/>
    </row>
    <row r="140" spans="1:1" ht="15.75" x14ac:dyDescent="0.25">
      <c r="A140" s="105"/>
    </row>
    <row r="141" spans="1:1" ht="15.75" x14ac:dyDescent="0.25">
      <c r="A141" s="105"/>
    </row>
    <row r="142" spans="1:1" ht="15.75" x14ac:dyDescent="0.25">
      <c r="A142" s="105"/>
    </row>
    <row r="143" spans="1:1" ht="15.75" x14ac:dyDescent="0.25">
      <c r="A143" s="105"/>
    </row>
    <row r="144" spans="1:1" ht="15.75" x14ac:dyDescent="0.25">
      <c r="A144" s="133"/>
    </row>
    <row r="146" spans="1:1" ht="15.75" x14ac:dyDescent="0.25">
      <c r="A146" s="105"/>
    </row>
    <row r="147" spans="1:1" ht="15.75" x14ac:dyDescent="0.25">
      <c r="A147" s="105"/>
    </row>
    <row r="148" spans="1:1" ht="15.75" x14ac:dyDescent="0.25">
      <c r="A148" s="105"/>
    </row>
    <row r="149" spans="1:1" ht="15.75" x14ac:dyDescent="0.25">
      <c r="A149" s="105"/>
    </row>
    <row r="150" spans="1:1" ht="15.75" x14ac:dyDescent="0.25">
      <c r="A150" s="105"/>
    </row>
    <row r="151" spans="1:1" ht="15.75" x14ac:dyDescent="0.25">
      <c r="A151" s="105"/>
    </row>
  </sheetData>
  <conditionalFormatting sqref="D86:V113">
    <cfRule type="cellIs" dxfId="2" priority="2" operator="greaterThan">
      <formula>3</formula>
    </cfRule>
  </conditionalFormatting>
  <conditionalFormatting sqref="Y86:AK113">
    <cfRule type="cellIs" dxfId="1" priority="1" operator="greaterThan">
      <formula>3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:U2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9" sqref="A9"/>
    </sheetView>
  </sheetViews>
  <sheetFormatPr defaultColWidth="8.85546875" defaultRowHeight="15" x14ac:dyDescent="0.25"/>
  <cols>
    <col min="1" max="1" width="26.140625" customWidth="1"/>
    <col min="2" max="2" width="17.42578125" customWidth="1"/>
    <col min="3" max="3" width="15.42578125" customWidth="1"/>
    <col min="4" max="4" width="12.7109375" customWidth="1"/>
    <col min="5" max="5" width="12.28515625" customWidth="1"/>
    <col min="6" max="6" width="13.7109375" customWidth="1"/>
    <col min="7" max="7" width="10.85546875" customWidth="1"/>
    <col min="8" max="8" width="10.42578125" customWidth="1"/>
    <col min="9" max="9" width="10.85546875" customWidth="1"/>
    <col min="10" max="10" width="12.140625" customWidth="1"/>
    <col min="11" max="11" width="11.140625" customWidth="1"/>
    <col min="12" max="13" width="11.7109375" customWidth="1"/>
    <col min="14" max="14" width="10.7109375" customWidth="1"/>
    <col min="16" max="16" width="10" customWidth="1"/>
  </cols>
  <sheetData>
    <row r="1" spans="1:21" x14ac:dyDescent="0.25">
      <c r="B1" s="15">
        <v>37226</v>
      </c>
      <c r="C1" s="15">
        <v>37591</v>
      </c>
      <c r="D1" s="15">
        <v>37956</v>
      </c>
      <c r="E1" s="15">
        <v>38322</v>
      </c>
      <c r="F1" s="15">
        <v>38687</v>
      </c>
      <c r="G1" s="15">
        <v>39052</v>
      </c>
      <c r="H1" s="15">
        <v>39417</v>
      </c>
      <c r="I1" s="15">
        <v>39783</v>
      </c>
      <c r="J1" s="15">
        <v>40148</v>
      </c>
      <c r="K1" s="15">
        <v>40513</v>
      </c>
      <c r="L1" s="15">
        <v>40878</v>
      </c>
      <c r="M1" s="15">
        <v>41244</v>
      </c>
      <c r="N1" s="15">
        <v>41609</v>
      </c>
      <c r="O1" s="15">
        <v>41974</v>
      </c>
      <c r="P1" s="15">
        <v>42339</v>
      </c>
      <c r="Q1" s="15">
        <v>42705</v>
      </c>
      <c r="R1" s="15">
        <v>43070</v>
      </c>
      <c r="S1" s="15">
        <v>43435</v>
      </c>
      <c r="T1" s="15">
        <v>43800</v>
      </c>
      <c r="U1" s="15">
        <v>44166</v>
      </c>
    </row>
    <row r="2" spans="1:21" x14ac:dyDescent="0.25">
      <c r="A2" t="s">
        <v>13</v>
      </c>
      <c r="B2">
        <f>'[23]Balança Comercial Geográfica '!D81</f>
        <v>30758.63</v>
      </c>
      <c r="C2">
        <f>'[23]Balança Comercial Geográfica '!E81</f>
        <v>36091.778296147961</v>
      </c>
      <c r="D2">
        <f>'[23]Balança Comercial Geográfica '!F81</f>
        <v>47280.65400000001</v>
      </c>
      <c r="E2">
        <f>'[23]Balança Comercial Geográfica '!G81</f>
        <v>44870.924000000014</v>
      </c>
      <c r="F2">
        <f>'[23]Balança Comercial Geográfica '!H81</f>
        <v>53124.933999999994</v>
      </c>
      <c r="G2">
        <f>'[23]Balança Comercial Geográfica '!I81</f>
        <v>74674.37999999999</v>
      </c>
      <c r="H2">
        <f>'[23]Balança Comercial Geográfica '!J81</f>
        <v>83016.931000000011</v>
      </c>
      <c r="I2">
        <f>'[23]Balança Comercial Geográfica '!K81</f>
        <v>119725.69499999999</v>
      </c>
      <c r="J2">
        <f>'[23]Balança Comercial Geográfica '!L81</f>
        <v>108470.02626200003</v>
      </c>
      <c r="K2">
        <f>'[23]Balança Comercial Geográfica '!M81</f>
        <v>122776.79989592526</v>
      </c>
      <c r="L2">
        <f>'[23]Balança Comercial Geográfica '!N81</f>
        <v>137448.8425278143</v>
      </c>
      <c r="M2">
        <f>'[23]Balança Comercial Geográfica '!O81</f>
        <v>137692.93486616801</v>
      </c>
      <c r="N2">
        <f>'[23]Balança Comercial Geográfica '!P81</f>
        <v>156707.12609334776</v>
      </c>
      <c r="O2">
        <f>'[23]Balança Comercial Geográfica '!Q81</f>
        <v>182007.17182932422</v>
      </c>
      <c r="P2">
        <f>'[23]Balança Comercial Geográfica '!R81</f>
        <v>151576.91622292437</v>
      </c>
    </row>
    <row r="4" spans="1:21" x14ac:dyDescent="0.25">
      <c r="A4" s="27" t="s">
        <v>3</v>
      </c>
      <c r="B4">
        <f>SUM(B5:B8)</f>
        <v>23326.032999999999</v>
      </c>
      <c r="C4">
        <f t="shared" ref="C4:K4" si="0">SUM(C5:C11)</f>
        <v>31582.53</v>
      </c>
      <c r="D4">
        <f t="shared" si="0"/>
        <v>40578.777000000002</v>
      </c>
      <c r="E4">
        <f t="shared" si="0"/>
        <v>38747.955000000002</v>
      </c>
      <c r="F4">
        <f t="shared" si="0"/>
        <v>44809.252999999997</v>
      </c>
      <c r="G4">
        <f t="shared" si="0"/>
        <v>64701.536999999997</v>
      </c>
      <c r="H4">
        <f t="shared" si="0"/>
        <v>74168.024000000005</v>
      </c>
      <c r="I4">
        <f t="shared" si="0"/>
        <v>102979.28700000001</v>
      </c>
      <c r="J4">
        <f t="shared" si="0"/>
        <v>80045.360950000002</v>
      </c>
      <c r="K4">
        <f t="shared" si="0"/>
        <v>92564.160126036208</v>
      </c>
      <c r="L4">
        <f>SUM(L5:L10)</f>
        <v>101827.40521712636</v>
      </c>
      <c r="M4">
        <f>SUM(M5:M10)</f>
        <v>116872.33885684446</v>
      </c>
      <c r="N4">
        <f>SUM(N5:N10)</f>
        <v>136920.36472045851</v>
      </c>
      <c r="O4">
        <f t="shared" ref="O4:P4" si="1">SUM(O5:O10)</f>
        <v>160461.7703451569</v>
      </c>
      <c r="P4">
        <f t="shared" si="1"/>
        <v>131189.32849035537</v>
      </c>
    </row>
    <row r="5" spans="1:21" x14ac:dyDescent="0.25">
      <c r="A5" s="27" t="s">
        <v>4</v>
      </c>
      <c r="B5">
        <f>'[23]Balança Comercial Geográfica '!D54</f>
        <v>4304.4170000000004</v>
      </c>
      <c r="C5">
        <f>'[23]Balança Comercial Geográfica '!E54</f>
        <v>3582.8240000000001</v>
      </c>
      <c r="D5">
        <f>'[23]Balança Comercial Geográfica '!F54</f>
        <v>4311.2809999999999</v>
      </c>
      <c r="E5">
        <f>'[23]Balança Comercial Geográfica '!G54</f>
        <v>6673.2420000000002</v>
      </c>
      <c r="F5">
        <f>'[23]Balança Comercial Geográfica '!H54</f>
        <v>10225.290000000001</v>
      </c>
      <c r="G5">
        <f>'[23]Balança Comercial Geográfica '!I54</f>
        <v>13017.013000000001</v>
      </c>
      <c r="H5">
        <f>'[23]Balança Comercial Geográfica '!J54</f>
        <v>15964.398999999998</v>
      </c>
      <c r="I5">
        <f>'[23]Balança Comercial Geográfica '!K54</f>
        <v>26178.565999999999</v>
      </c>
      <c r="J5">
        <f>'[23]Balança Comercial Geográfica '!L54</f>
        <v>15166.897760000002</v>
      </c>
      <c r="K5">
        <f>'[23]Balança Comercial Geográfica '!M54</f>
        <v>14310.691309686417</v>
      </c>
      <c r="L5">
        <f>'[23]Balança Comercial Geográfica '!N54</f>
        <v>12701.869382838571</v>
      </c>
      <c r="M5">
        <f>'[23]Balança Comercial Geográfica '!O54</f>
        <v>28881.024510488049</v>
      </c>
      <c r="N5">
        <f>'[23]Balança Comercial Geográfica '!P54</f>
        <v>36578.376565213533</v>
      </c>
      <c r="O5">
        <f>'[23]Balança Comercial Geográfica '!Q54</f>
        <v>40922.367413954606</v>
      </c>
      <c r="P5">
        <f>'[23]Balança Comercial Geográfica '!R54</f>
        <v>32039.383324278955</v>
      </c>
    </row>
    <row r="6" spans="1:21" x14ac:dyDescent="0.25">
      <c r="A6" s="27" t="s">
        <v>5</v>
      </c>
      <c r="B6">
        <f>'[23]Balança Comercial Geográfica '!D57</f>
        <v>3328.319</v>
      </c>
      <c r="C6">
        <f>'[23]Balança Comercial Geográfica '!E57</f>
        <v>5268.1730000000007</v>
      </c>
      <c r="D6">
        <f>'[23]Balança Comercial Geográfica '!F57</f>
        <v>5842.7069999999994</v>
      </c>
      <c r="E6">
        <f>'[23]Balança Comercial Geográfica '!G57</f>
        <v>3975.5660000000003</v>
      </c>
      <c r="F6">
        <f>'[23]Balança Comercial Geográfica '!H57</f>
        <v>3432.24</v>
      </c>
      <c r="G6">
        <f>'[23]Balança Comercial Geográfica '!I57</f>
        <v>3775.625</v>
      </c>
      <c r="H6">
        <f>'[23]Balança Comercial Geográfica '!J57</f>
        <v>2450.0970000000002</v>
      </c>
      <c r="I6">
        <f>'[23]Balança Comercial Geográfica '!K57</f>
        <v>2369.7169999999996</v>
      </c>
      <c r="J6">
        <f>'[23]Balança Comercial Geográfica '!L57</f>
        <v>3138.3725100000001</v>
      </c>
      <c r="K6">
        <f>'[23]Balança Comercial Geográfica '!M57</f>
        <v>3278.8825482606271</v>
      </c>
      <c r="L6">
        <f>'[23]Balança Comercial Geográfica '!N57</f>
        <v>3999.9991147800347</v>
      </c>
      <c r="M6">
        <f>'[23]Balança Comercial Geográfica '!O57</f>
        <v>5219.477663121851</v>
      </c>
      <c r="N6">
        <f>'[23]Balança Comercial Geográfica '!P57</f>
        <v>4349.7883375075053</v>
      </c>
      <c r="O6">
        <f>'[23]Balança Comercial Geográfica '!Q57</f>
        <v>5280.4997845138932</v>
      </c>
      <c r="P6">
        <f>'[23]Balança Comercial Geográfica '!R57</f>
        <v>3918.9214082893213</v>
      </c>
    </row>
    <row r="7" spans="1:21" x14ac:dyDescent="0.25">
      <c r="A7" s="27" t="s">
        <v>6</v>
      </c>
      <c r="B7">
        <f>'[23]Balança Comercial Geográfica '!D70</f>
        <v>13548.228999999999</v>
      </c>
      <c r="C7">
        <f>'[23]Balança Comercial Geográfica '!E70</f>
        <v>17971.634999999998</v>
      </c>
      <c r="D7">
        <f>'[23]Balança Comercial Geográfica '!F70</f>
        <v>27556.224000000002</v>
      </c>
      <c r="E7">
        <f>'[23]Balança Comercial Geográfica '!G70</f>
        <v>25859.188999999998</v>
      </c>
      <c r="F7">
        <f>'[23]Balança Comercial Geográfica '!H70</f>
        <v>29674.805999999997</v>
      </c>
      <c r="G7">
        <f>'[23]Balança Comercial Geográfica '!I70</f>
        <v>46316.299999999996</v>
      </c>
      <c r="H7">
        <f>'[23]Balança Comercial Geográfica '!J70</f>
        <v>54091.957000000002</v>
      </c>
      <c r="I7">
        <f>'[23]Balança Comercial Geográfica '!K70</f>
        <v>72697.275000000009</v>
      </c>
      <c r="J7">
        <f>'[23]Balança Comercial Geográfica '!L70</f>
        <v>59678.025600000001</v>
      </c>
      <c r="K7">
        <f>'[23]Balança Comercial Geográfica '!M70</f>
        <v>73781.082986927257</v>
      </c>
      <c r="L7">
        <f>'[23]Balança Comercial Geográfica '!N70</f>
        <v>78231.21416171873</v>
      </c>
      <c r="M7">
        <f>'[23]Balança Comercial Geográfica '!O70</f>
        <v>73630.316702471711</v>
      </c>
      <c r="N7">
        <f>'[23]Balança Comercial Geográfica '!P70</f>
        <v>89917.834126923684</v>
      </c>
      <c r="O7">
        <f>'[23]Balança Comercial Geográfica '!Q70</f>
        <v>102364.56506065051</v>
      </c>
      <c r="P7">
        <f>'[23]Balança Comercial Geográfica '!R70</f>
        <v>82391.203596533145</v>
      </c>
    </row>
    <row r="8" spans="1:21" x14ac:dyDescent="0.25">
      <c r="A8" s="27" t="s">
        <v>14</v>
      </c>
      <c r="B8">
        <f>'[23]Balança Comercial Geográfica '!D69</f>
        <v>2145.0680000000002</v>
      </c>
      <c r="C8">
        <f>'[23]Balança Comercial Geográfica '!E69</f>
        <v>4759.8980000000001</v>
      </c>
      <c r="D8">
        <f>'[23]Balança Comercial Geográfica '!F69</f>
        <v>2868.5650000000001</v>
      </c>
      <c r="E8">
        <f>'[23]Balança Comercial Geográfica '!G69</f>
        <v>2239.9580000000001</v>
      </c>
      <c r="F8">
        <f>'[23]Balança Comercial Geográfica '!H69</f>
        <v>1476.9169999999999</v>
      </c>
      <c r="G8">
        <f>'[23]Balança Comercial Geográfica '!I69</f>
        <v>1592.5990000000002</v>
      </c>
      <c r="H8">
        <f>'[23]Balança Comercial Geográfica '!J69</f>
        <v>1661.5709999999999</v>
      </c>
      <c r="I8">
        <f>'[23]Balança Comercial Geográfica '!K69</f>
        <v>1733.7290000000003</v>
      </c>
      <c r="J8">
        <f>'[23]Balança Comercial Geográfica '!L69</f>
        <v>2062.0650800000003</v>
      </c>
      <c r="K8">
        <f>'[23]Balança Comercial Geográfica '!M69</f>
        <v>1193.5032811619058</v>
      </c>
      <c r="L8">
        <f>'[23]Balança Comercial Geográfica '!N69</f>
        <v>2608.3881117711571</v>
      </c>
      <c r="M8">
        <f>'[23]Balança Comercial Geográfica '!O69</f>
        <v>3024.5450471521708</v>
      </c>
      <c r="N8">
        <f>'[23]Balança Comercial Geográfica '!P69</f>
        <v>2410.5284829605116</v>
      </c>
      <c r="O8">
        <f>'[23]Balança Comercial Geográfica '!Q69</f>
        <v>3920.4815520643315</v>
      </c>
      <c r="P8">
        <f>'[23]Balança Comercial Geográfica '!R69</f>
        <v>4626.7369041663151</v>
      </c>
    </row>
    <row r="9" spans="1:21" x14ac:dyDescent="0.25">
      <c r="A9" s="27" t="s">
        <v>1</v>
      </c>
      <c r="L9">
        <f>+'[23]Balança Comercial Geográfica '!N60</f>
        <v>1665.8641292341658</v>
      </c>
      <c r="M9">
        <f>+'[23]Balança Comercial Geográfica '!O60</f>
        <v>4326.6313018622204</v>
      </c>
      <c r="N9">
        <f>+'[23]Balança Comercial Geográfica '!P60</f>
        <v>1236.7834906980938</v>
      </c>
      <c r="O9">
        <f>+'[23]Balança Comercial Geográfica '!Q60</f>
        <v>4042.7818677191176</v>
      </c>
      <c r="P9">
        <f>+'[23]Balança Comercial Geográfica '!R60</f>
        <v>3685.7236603104502</v>
      </c>
    </row>
    <row r="10" spans="1:21" x14ac:dyDescent="0.25">
      <c r="A10" s="27" t="s">
        <v>41</v>
      </c>
      <c r="L10">
        <f>+'[23]Balança Comercial Geográfica '!N58</f>
        <v>2620.0703167836991</v>
      </c>
      <c r="M10">
        <f>+'[23]Balança Comercial Geográfica '!O58</f>
        <v>1790.3436317484543</v>
      </c>
      <c r="N10">
        <f>+'[23]Balança Comercial Geográfica '!P58</f>
        <v>2427.0537171551914</v>
      </c>
      <c r="O10">
        <f>+'[23]Balança Comercial Geográfica '!Q58</f>
        <v>3931.074666254463</v>
      </c>
      <c r="P10">
        <f>+'[23]Balança Comercial Geográfica '!R58</f>
        <v>4527.3595967771771</v>
      </c>
    </row>
    <row r="11" spans="1:21" x14ac:dyDescent="0.25">
      <c r="A11" s="27"/>
    </row>
    <row r="13" spans="1:21" x14ac:dyDescent="0.25">
      <c r="A13" s="139" t="s">
        <v>19</v>
      </c>
      <c r="B13" s="1">
        <f>B4/B2*100</f>
        <v>75.83573455644806</v>
      </c>
      <c r="C13" s="1">
        <f t="shared" ref="C13:K13" si="2">C4/C2*100</f>
        <v>87.506162042923691</v>
      </c>
      <c r="D13" s="1">
        <f t="shared" si="2"/>
        <v>85.825329319683249</v>
      </c>
      <c r="E13" s="1">
        <f t="shared" si="2"/>
        <v>86.354261392076509</v>
      </c>
      <c r="F13" s="1">
        <f t="shared" si="2"/>
        <v>84.346933965132081</v>
      </c>
      <c r="G13" s="1">
        <f t="shared" si="2"/>
        <v>86.64489346948713</v>
      </c>
      <c r="H13" s="1">
        <f t="shared" si="2"/>
        <v>89.340840605153176</v>
      </c>
      <c r="I13" s="1">
        <f t="shared" si="2"/>
        <v>86.012686750325415</v>
      </c>
      <c r="J13" s="1">
        <f t="shared" si="2"/>
        <v>73.794912482695736</v>
      </c>
      <c r="K13" s="1">
        <f t="shared" si="2"/>
        <v>75.392224104635787</v>
      </c>
      <c r="L13" s="1">
        <f>L4/L2*100</f>
        <v>74.083857924464127</v>
      </c>
      <c r="M13" s="1">
        <f>M4/M2*100</f>
        <v>84.878965627713342</v>
      </c>
      <c r="N13" s="1">
        <f>N4/N2*100</f>
        <v>87.373413152186458</v>
      </c>
      <c r="O13" s="1">
        <f>O4/O2*100</f>
        <v>88.162333787389784</v>
      </c>
      <c r="P13" s="1">
        <f>P4/P2*100</f>
        <v>86.549675082065306</v>
      </c>
    </row>
    <row r="14" spans="1:21" x14ac:dyDescent="0.25">
      <c r="A14" s="8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21" x14ac:dyDescent="0.25">
      <c r="A15" s="27" t="s">
        <v>4</v>
      </c>
      <c r="B15" s="28">
        <f>B5/$B$4</f>
        <v>0.18453274931060934</v>
      </c>
      <c r="C15" s="28">
        <f>C5/$C$4</f>
        <v>0.11344322319966134</v>
      </c>
      <c r="D15" s="28">
        <f>D5/$D$4</f>
        <v>0.10624472492110838</v>
      </c>
      <c r="E15" s="28">
        <f>E5/$E$4</f>
        <v>0.17222178564004217</v>
      </c>
      <c r="F15" s="28">
        <f>F5/$F$4</f>
        <v>0.22819594872514393</v>
      </c>
      <c r="G15" s="28">
        <f>G5/$G$4</f>
        <v>0.20118552979661058</v>
      </c>
      <c r="H15" s="28">
        <f>H5/$H$4</f>
        <v>0.21524638434482218</v>
      </c>
      <c r="I15" s="28">
        <f>I5/$I$4</f>
        <v>0.25421195623543202</v>
      </c>
      <c r="J15" s="28">
        <f>J5/$J$4</f>
        <v>0.18947878527868642</v>
      </c>
      <c r="K15" s="28">
        <f>K5/$K$4</f>
        <v>0.15460294016821249</v>
      </c>
      <c r="L15" s="28">
        <f t="shared" ref="L15:L20" si="3">L5/$L$4</f>
        <v>0.12473920312271929</v>
      </c>
      <c r="M15" s="28">
        <f t="shared" ref="M15:M20" si="4">M5/$M$4</f>
        <v>0.24711599676176646</v>
      </c>
      <c r="N15" s="28">
        <f t="shared" ref="N15:N20" si="5">N5/$N$4</f>
        <v>0.26715073860556277</v>
      </c>
      <c r="O15" s="28">
        <f t="shared" ref="O15:O19" si="6">O5/$O$4</f>
        <v>0.25502876682670061</v>
      </c>
      <c r="P15" s="28">
        <f>P5/$P$4</f>
        <v>0.24422248130216162</v>
      </c>
    </row>
    <row r="16" spans="1:21" x14ac:dyDescent="0.25">
      <c r="A16" s="27" t="s">
        <v>5</v>
      </c>
      <c r="B16" s="28">
        <f>B6/$B$4</f>
        <v>0.1426868855068498</v>
      </c>
      <c r="C16" s="28">
        <f>C6/$C$4</f>
        <v>0.16680655412976733</v>
      </c>
      <c r="D16" s="28">
        <f>D6/$D$4</f>
        <v>0.14398430489908554</v>
      </c>
      <c r="E16" s="28">
        <f>E6/$E$4</f>
        <v>0.1026006662803237</v>
      </c>
      <c r="F16" s="28">
        <f>F6/$F$4</f>
        <v>7.6596679708095111E-2</v>
      </c>
      <c r="G16" s="28">
        <f>G6/$G$4</f>
        <v>5.8354487003917703E-2</v>
      </c>
      <c r="H16" s="28">
        <f>H6/$H$4</f>
        <v>3.3034411163495474E-2</v>
      </c>
      <c r="I16" s="28">
        <f>I6/$I$4</f>
        <v>2.3011588728517798E-2</v>
      </c>
      <c r="J16" s="28">
        <f>J6/$J$4</f>
        <v>3.9207425299267143E-2</v>
      </c>
      <c r="K16" s="28">
        <f>K6/$K$4</f>
        <v>3.5422808825749302E-2</v>
      </c>
      <c r="L16" s="28">
        <f t="shared" si="3"/>
        <v>3.9282147141536654E-2</v>
      </c>
      <c r="M16" s="28">
        <f t="shared" si="4"/>
        <v>4.4659649273513104E-2</v>
      </c>
      <c r="N16" s="28">
        <f t="shared" si="5"/>
        <v>3.1768746354044468E-2</v>
      </c>
      <c r="O16" s="28">
        <f t="shared" si="6"/>
        <v>3.2908148608577721E-2</v>
      </c>
      <c r="P16" s="28">
        <f>P6/$P$4</f>
        <v>2.9872257548581232E-2</v>
      </c>
    </row>
    <row r="17" spans="1:16" x14ac:dyDescent="0.25">
      <c r="A17" s="27" t="s">
        <v>6</v>
      </c>
      <c r="B17" s="28">
        <f>B7/$B$4</f>
        <v>0.58082010773113457</v>
      </c>
      <c r="C17" s="28">
        <f>C7/$C$4</f>
        <v>0.56903721772764881</v>
      </c>
      <c r="D17" s="28">
        <f>D7/$D$4</f>
        <v>0.67907970710896493</v>
      </c>
      <c r="E17" s="28">
        <f>E7/$E$4</f>
        <v>0.66736912954503014</v>
      </c>
      <c r="F17" s="28">
        <f>F7/$F$4</f>
        <v>0.66224728182815273</v>
      </c>
      <c r="G17" s="28">
        <f>G7/$G$4</f>
        <v>0.71584543656204025</v>
      </c>
      <c r="H17" s="28">
        <f>H7/$H$4</f>
        <v>0.72931640999361125</v>
      </c>
      <c r="I17" s="28">
        <f>I7/$I$4</f>
        <v>0.70594074903626014</v>
      </c>
      <c r="J17" s="28">
        <f>J7/$J$4</f>
        <v>0.74555258283209724</v>
      </c>
      <c r="K17" s="28">
        <f>K7/$K$4</f>
        <v>0.79708045626370139</v>
      </c>
      <c r="L17" s="28">
        <f t="shared" si="3"/>
        <v>0.76827268646300551</v>
      </c>
      <c r="M17" s="28">
        <f t="shared" si="4"/>
        <v>0.63000635926915616</v>
      </c>
      <c r="N17" s="28">
        <f t="shared" si="5"/>
        <v>0.65671629133111886</v>
      </c>
      <c r="O17" s="28">
        <f t="shared" si="6"/>
        <v>0.63793740303663615</v>
      </c>
      <c r="P17" s="28">
        <f t="shared" ref="P17" si="7">P7/$P$4</f>
        <v>0.62803281749087003</v>
      </c>
    </row>
    <row r="18" spans="1:16" x14ac:dyDescent="0.25">
      <c r="A18" s="27" t="s">
        <v>14</v>
      </c>
      <c r="B18" s="28">
        <f>B8/$B$4</f>
        <v>9.1960257451406346E-2</v>
      </c>
      <c r="C18" s="28">
        <f>C8/$C$4</f>
        <v>0.15071300494292256</v>
      </c>
      <c r="D18" s="28">
        <f>D8/$D$4</f>
        <v>7.0691263070841198E-2</v>
      </c>
      <c r="E18" s="28">
        <f>E8/$E$4</f>
        <v>5.7808418534603952E-2</v>
      </c>
      <c r="F18" s="28">
        <f>F8/$F$4</f>
        <v>3.2960089738608228E-2</v>
      </c>
      <c r="G18" s="28">
        <f>G8/$G$4</f>
        <v>2.4614546637431508E-2</v>
      </c>
      <c r="H18" s="28">
        <f>H8/$H$4</f>
        <v>2.2402794498071026E-2</v>
      </c>
      <c r="I18" s="28">
        <f>I8/$I$4</f>
        <v>1.6835705999790035E-2</v>
      </c>
      <c r="J18" s="28">
        <f>J8/$J$4</f>
        <v>2.5761206589949175E-2</v>
      </c>
      <c r="K18" s="28">
        <f>K8/$K$4</f>
        <v>1.2893794742336782E-2</v>
      </c>
      <c r="L18" s="28">
        <f t="shared" si="3"/>
        <v>2.561577707110671E-2</v>
      </c>
      <c r="M18" s="28">
        <f t="shared" si="4"/>
        <v>2.587904954017306E-2</v>
      </c>
      <c r="N18" s="28">
        <f t="shared" si="5"/>
        <v>1.7605332032834795E-2</v>
      </c>
      <c r="O18" s="28">
        <f t="shared" si="6"/>
        <v>2.4432495937389241E-2</v>
      </c>
      <c r="P18" s="28">
        <f>P8/$P$4</f>
        <v>3.5267631578024719E-2</v>
      </c>
    </row>
    <row r="19" spans="1:16" x14ac:dyDescent="0.25">
      <c r="A19" s="27" t="s">
        <v>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>
        <f t="shared" si="3"/>
        <v>1.6359683581075715E-2</v>
      </c>
      <c r="M19" s="28">
        <f t="shared" si="4"/>
        <v>3.702014817348577E-2</v>
      </c>
      <c r="N19" s="28">
        <f t="shared" si="5"/>
        <v>9.0328673402466832E-3</v>
      </c>
      <c r="O19" s="28">
        <f t="shared" si="6"/>
        <v>2.5194673217321498E-2</v>
      </c>
      <c r="P19" s="28">
        <f>P9/$P$4</f>
        <v>2.8094691105773995E-2</v>
      </c>
    </row>
    <row r="20" spans="1:16" x14ac:dyDescent="0.25">
      <c r="A20" s="27" t="s">
        <v>40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>
        <f t="shared" si="3"/>
        <v>2.5730502620556112E-2</v>
      </c>
      <c r="M20" s="28">
        <f t="shared" si="4"/>
        <v>1.5318796981905402E-2</v>
      </c>
      <c r="N20" s="28">
        <f t="shared" si="5"/>
        <v>1.7726024336192431E-2</v>
      </c>
      <c r="O20" s="28">
        <f>O10/$O$4</f>
        <v>2.4498512373374869E-2</v>
      </c>
      <c r="P20" s="28">
        <f>P10/$P$4</f>
        <v>3.4510120974588374E-2</v>
      </c>
    </row>
    <row r="22" spans="1:16" x14ac:dyDescent="0.25">
      <c r="A22" s="16" t="s">
        <v>30</v>
      </c>
      <c r="B22" s="16" t="s">
        <v>28</v>
      </c>
      <c r="C22" s="16" t="s">
        <v>29</v>
      </c>
      <c r="D22" s="16" t="s">
        <v>31</v>
      </c>
    </row>
    <row r="23" spans="1:16" x14ac:dyDescent="0.25">
      <c r="A23" s="27" t="s">
        <v>4</v>
      </c>
      <c r="B23" s="29">
        <f>AVERAGE(B15:F15)</f>
        <v>0.16092768635931304</v>
      </c>
      <c r="C23" s="29">
        <f>AVERAGE(G15:K15)</f>
        <v>0.20294511916475275</v>
      </c>
      <c r="D23" s="29">
        <f t="shared" ref="D23:D28" si="8">AVERAGE(L15:P15)</f>
        <v>0.22765143732378218</v>
      </c>
    </row>
    <row r="24" spans="1:16" x14ac:dyDescent="0.25">
      <c r="A24" s="27" t="s">
        <v>5</v>
      </c>
      <c r="B24" s="29">
        <f>AVERAGE(B16:F16)</f>
        <v>0.12653501810482431</v>
      </c>
      <c r="C24" s="29">
        <f>AVERAGE(G16:K16)</f>
        <v>3.7806144204189485E-2</v>
      </c>
      <c r="D24" s="29">
        <f t="shared" si="8"/>
        <v>3.5698189785250634E-2</v>
      </c>
    </row>
    <row r="25" spans="1:16" x14ac:dyDescent="0.25">
      <c r="A25" s="27" t="s">
        <v>6</v>
      </c>
      <c r="B25" s="29">
        <f>AVERAGE(B17:F17)</f>
        <v>0.63171068878818626</v>
      </c>
      <c r="C25" s="29">
        <f>AVERAGE(G17:K17)</f>
        <v>0.73874712693754208</v>
      </c>
      <c r="D25" s="29">
        <f t="shared" si="8"/>
        <v>0.66419311151815719</v>
      </c>
    </row>
    <row r="26" spans="1:16" x14ac:dyDescent="0.25">
      <c r="A26" s="27" t="s">
        <v>14</v>
      </c>
      <c r="B26" s="29">
        <f>AVERAGE(B18:F18)</f>
        <v>8.0826606747676458E-2</v>
      </c>
      <c r="C26" s="29">
        <f>AVERAGE(G18:K18)</f>
        <v>2.0501609693515704E-2</v>
      </c>
      <c r="D26" s="29">
        <f t="shared" si="8"/>
        <v>2.5760057231905709E-2</v>
      </c>
    </row>
    <row r="27" spans="1:16" x14ac:dyDescent="0.25">
      <c r="A27" s="27" t="s">
        <v>1</v>
      </c>
      <c r="B27" s="29"/>
      <c r="C27" s="29"/>
      <c r="D27" s="29">
        <f t="shared" si="8"/>
        <v>2.3140412683580733E-2</v>
      </c>
    </row>
    <row r="28" spans="1:16" x14ac:dyDescent="0.25">
      <c r="A28" s="27" t="s">
        <v>41</v>
      </c>
      <c r="B28" s="29"/>
      <c r="C28" s="29"/>
      <c r="D28" s="29">
        <f t="shared" si="8"/>
        <v>2.355679145732344E-2</v>
      </c>
    </row>
    <row r="29" spans="1:16" x14ac:dyDescent="0.25">
      <c r="A29" s="27"/>
      <c r="B29" s="29"/>
      <c r="C29" s="29"/>
    </row>
  </sheetData>
  <conditionalFormatting sqref="B15:P20">
    <cfRule type="cellIs" dxfId="0" priority="1" operator="greaterThan">
      <formula>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BH91"/>
  <sheetViews>
    <sheetView workbookViewId="0">
      <pane xSplit="2" ySplit="1" topLeftCell="BA2" activePane="bottomRight" state="frozen"/>
      <selection pane="topRight" activeCell="C1" sqref="C1"/>
      <selection pane="bottomLeft" activeCell="A2" sqref="A2"/>
      <selection pane="bottomRight" activeCell="BH1" sqref="BH1"/>
    </sheetView>
  </sheetViews>
  <sheetFormatPr defaultColWidth="26" defaultRowHeight="13.5" customHeight="1" x14ac:dyDescent="0.25"/>
  <cols>
    <col min="1" max="1" width="41.5703125" style="2" bestFit="1" customWidth="1"/>
    <col min="2" max="2" width="40.85546875" style="2" bestFit="1" customWidth="1"/>
    <col min="3" max="12" width="9.42578125" style="2" customWidth="1"/>
    <col min="13" max="13" width="13.85546875" style="2" customWidth="1"/>
    <col min="14" max="14" width="11" style="2" customWidth="1"/>
    <col min="15" max="60" width="13.140625" style="2" customWidth="1"/>
    <col min="61" max="158" width="26" style="2"/>
    <col min="159" max="159" width="22.42578125" style="2" customWidth="1"/>
    <col min="160" max="160" width="26" style="2" customWidth="1"/>
    <col min="161" max="161" width="36.42578125" style="2" customWidth="1"/>
    <col min="162" max="162" width="7.42578125" style="2" customWidth="1"/>
    <col min="163" max="163" width="7.28515625" style="2" customWidth="1"/>
    <col min="164" max="164" width="10.42578125" style="2" customWidth="1"/>
    <col min="165" max="165" width="9.42578125" style="2" customWidth="1"/>
    <col min="166" max="166" width="10" style="2" customWidth="1"/>
    <col min="167" max="167" width="8.42578125" style="2" customWidth="1"/>
    <col min="168" max="168" width="9.7109375" style="2" customWidth="1"/>
    <col min="169" max="169" width="9.140625" style="2" customWidth="1"/>
    <col min="170" max="170" width="8.42578125" style="2" customWidth="1"/>
    <col min="171" max="171" width="10" style="2" customWidth="1"/>
    <col min="172" max="172" width="10.42578125" style="2" customWidth="1"/>
    <col min="173" max="173" width="10" style="2" customWidth="1"/>
    <col min="174" max="174" width="10.42578125" style="2" customWidth="1"/>
    <col min="175" max="175" width="9.28515625" style="2" customWidth="1"/>
    <col min="176" max="176" width="12.42578125" style="2" customWidth="1"/>
    <col min="177" max="177" width="13.85546875" style="2" customWidth="1"/>
    <col min="178" max="178" width="13.42578125" style="2" customWidth="1"/>
    <col min="179" max="414" width="26" style="2"/>
    <col min="415" max="415" width="22.42578125" style="2" customWidth="1"/>
    <col min="416" max="416" width="26" style="2" customWidth="1"/>
    <col min="417" max="417" width="36.42578125" style="2" customWidth="1"/>
    <col min="418" max="418" width="7.42578125" style="2" customWidth="1"/>
    <col min="419" max="419" width="7.28515625" style="2" customWidth="1"/>
    <col min="420" max="420" width="10.42578125" style="2" customWidth="1"/>
    <col min="421" max="421" width="9.42578125" style="2" customWidth="1"/>
    <col min="422" max="422" width="10" style="2" customWidth="1"/>
    <col min="423" max="423" width="8.42578125" style="2" customWidth="1"/>
    <col min="424" max="424" width="9.7109375" style="2" customWidth="1"/>
    <col min="425" max="425" width="9.140625" style="2" customWidth="1"/>
    <col min="426" max="426" width="8.42578125" style="2" customWidth="1"/>
    <col min="427" max="427" width="10" style="2" customWidth="1"/>
    <col min="428" max="428" width="10.42578125" style="2" customWidth="1"/>
    <col min="429" max="429" width="10" style="2" customWidth="1"/>
    <col min="430" max="430" width="10.42578125" style="2" customWidth="1"/>
    <col min="431" max="431" width="9.28515625" style="2" customWidth="1"/>
    <col min="432" max="432" width="12.42578125" style="2" customWidth="1"/>
    <col min="433" max="433" width="13.85546875" style="2" customWidth="1"/>
    <col min="434" max="434" width="13.42578125" style="2" customWidth="1"/>
    <col min="435" max="670" width="26" style="2"/>
    <col min="671" max="671" width="22.42578125" style="2" customWidth="1"/>
    <col min="672" max="672" width="26" style="2" customWidth="1"/>
    <col min="673" max="673" width="36.42578125" style="2" customWidth="1"/>
    <col min="674" max="674" width="7.42578125" style="2" customWidth="1"/>
    <col min="675" max="675" width="7.28515625" style="2" customWidth="1"/>
    <col min="676" max="676" width="10.42578125" style="2" customWidth="1"/>
    <col min="677" max="677" width="9.42578125" style="2" customWidth="1"/>
    <col min="678" max="678" width="10" style="2" customWidth="1"/>
    <col min="679" max="679" width="8.42578125" style="2" customWidth="1"/>
    <col min="680" max="680" width="9.7109375" style="2" customWidth="1"/>
    <col min="681" max="681" width="9.140625" style="2" customWidth="1"/>
    <col min="682" max="682" width="8.42578125" style="2" customWidth="1"/>
    <col min="683" max="683" width="10" style="2" customWidth="1"/>
    <col min="684" max="684" width="10.42578125" style="2" customWidth="1"/>
    <col min="685" max="685" width="10" style="2" customWidth="1"/>
    <col min="686" max="686" width="10.42578125" style="2" customWidth="1"/>
    <col min="687" max="687" width="9.28515625" style="2" customWidth="1"/>
    <col min="688" max="688" width="12.42578125" style="2" customWidth="1"/>
    <col min="689" max="689" width="13.85546875" style="2" customWidth="1"/>
    <col min="690" max="690" width="13.42578125" style="2" customWidth="1"/>
    <col min="691" max="926" width="26" style="2"/>
    <col min="927" max="927" width="22.42578125" style="2" customWidth="1"/>
    <col min="928" max="928" width="26" style="2" customWidth="1"/>
    <col min="929" max="929" width="36.42578125" style="2" customWidth="1"/>
    <col min="930" max="930" width="7.42578125" style="2" customWidth="1"/>
    <col min="931" max="931" width="7.28515625" style="2" customWidth="1"/>
    <col min="932" max="932" width="10.42578125" style="2" customWidth="1"/>
    <col min="933" max="933" width="9.42578125" style="2" customWidth="1"/>
    <col min="934" max="934" width="10" style="2" customWidth="1"/>
    <col min="935" max="935" width="8.42578125" style="2" customWidth="1"/>
    <col min="936" max="936" width="9.7109375" style="2" customWidth="1"/>
    <col min="937" max="937" width="9.140625" style="2" customWidth="1"/>
    <col min="938" max="938" width="8.42578125" style="2" customWidth="1"/>
    <col min="939" max="939" width="10" style="2" customWidth="1"/>
    <col min="940" max="940" width="10.42578125" style="2" customWidth="1"/>
    <col min="941" max="941" width="10" style="2" customWidth="1"/>
    <col min="942" max="942" width="10.42578125" style="2" customWidth="1"/>
    <col min="943" max="943" width="9.28515625" style="2" customWidth="1"/>
    <col min="944" max="944" width="12.42578125" style="2" customWidth="1"/>
    <col min="945" max="945" width="13.85546875" style="2" customWidth="1"/>
    <col min="946" max="946" width="13.42578125" style="2" customWidth="1"/>
    <col min="947" max="1182" width="26" style="2"/>
    <col min="1183" max="1183" width="22.42578125" style="2" customWidth="1"/>
    <col min="1184" max="1184" width="26" style="2" customWidth="1"/>
    <col min="1185" max="1185" width="36.42578125" style="2" customWidth="1"/>
    <col min="1186" max="1186" width="7.42578125" style="2" customWidth="1"/>
    <col min="1187" max="1187" width="7.28515625" style="2" customWidth="1"/>
    <col min="1188" max="1188" width="10.42578125" style="2" customWidth="1"/>
    <col min="1189" max="1189" width="9.42578125" style="2" customWidth="1"/>
    <col min="1190" max="1190" width="10" style="2" customWidth="1"/>
    <col min="1191" max="1191" width="8.42578125" style="2" customWidth="1"/>
    <col min="1192" max="1192" width="9.7109375" style="2" customWidth="1"/>
    <col min="1193" max="1193" width="9.140625" style="2" customWidth="1"/>
    <col min="1194" max="1194" width="8.42578125" style="2" customWidth="1"/>
    <col min="1195" max="1195" width="10" style="2" customWidth="1"/>
    <col min="1196" max="1196" width="10.42578125" style="2" customWidth="1"/>
    <col min="1197" max="1197" width="10" style="2" customWidth="1"/>
    <col min="1198" max="1198" width="10.42578125" style="2" customWidth="1"/>
    <col min="1199" max="1199" width="9.28515625" style="2" customWidth="1"/>
    <col min="1200" max="1200" width="12.42578125" style="2" customWidth="1"/>
    <col min="1201" max="1201" width="13.85546875" style="2" customWidth="1"/>
    <col min="1202" max="1202" width="13.42578125" style="2" customWidth="1"/>
    <col min="1203" max="1438" width="26" style="2"/>
    <col min="1439" max="1439" width="22.42578125" style="2" customWidth="1"/>
    <col min="1440" max="1440" width="26" style="2" customWidth="1"/>
    <col min="1441" max="1441" width="36.42578125" style="2" customWidth="1"/>
    <col min="1442" max="1442" width="7.42578125" style="2" customWidth="1"/>
    <col min="1443" max="1443" width="7.28515625" style="2" customWidth="1"/>
    <col min="1444" max="1444" width="10.42578125" style="2" customWidth="1"/>
    <col min="1445" max="1445" width="9.42578125" style="2" customWidth="1"/>
    <col min="1446" max="1446" width="10" style="2" customWidth="1"/>
    <col min="1447" max="1447" width="8.42578125" style="2" customWidth="1"/>
    <col min="1448" max="1448" width="9.7109375" style="2" customWidth="1"/>
    <col min="1449" max="1449" width="9.140625" style="2" customWidth="1"/>
    <col min="1450" max="1450" width="8.42578125" style="2" customWidth="1"/>
    <col min="1451" max="1451" width="10" style="2" customWidth="1"/>
    <col min="1452" max="1452" width="10.42578125" style="2" customWidth="1"/>
    <col min="1453" max="1453" width="10" style="2" customWidth="1"/>
    <col min="1454" max="1454" width="10.42578125" style="2" customWidth="1"/>
    <col min="1455" max="1455" width="9.28515625" style="2" customWidth="1"/>
    <col min="1456" max="1456" width="12.42578125" style="2" customWidth="1"/>
    <col min="1457" max="1457" width="13.85546875" style="2" customWidth="1"/>
    <col min="1458" max="1458" width="13.42578125" style="2" customWidth="1"/>
    <col min="1459" max="1694" width="26" style="2"/>
    <col min="1695" max="1695" width="22.42578125" style="2" customWidth="1"/>
    <col min="1696" max="1696" width="26" style="2" customWidth="1"/>
    <col min="1697" max="1697" width="36.42578125" style="2" customWidth="1"/>
    <col min="1698" max="1698" width="7.42578125" style="2" customWidth="1"/>
    <col min="1699" max="1699" width="7.28515625" style="2" customWidth="1"/>
    <col min="1700" max="1700" width="10.42578125" style="2" customWidth="1"/>
    <col min="1701" max="1701" width="9.42578125" style="2" customWidth="1"/>
    <col min="1702" max="1702" width="10" style="2" customWidth="1"/>
    <col min="1703" max="1703" width="8.42578125" style="2" customWidth="1"/>
    <col min="1704" max="1704" width="9.7109375" style="2" customWidth="1"/>
    <col min="1705" max="1705" width="9.140625" style="2" customWidth="1"/>
    <col min="1706" max="1706" width="8.42578125" style="2" customWidth="1"/>
    <col min="1707" max="1707" width="10" style="2" customWidth="1"/>
    <col min="1708" max="1708" width="10.42578125" style="2" customWidth="1"/>
    <col min="1709" max="1709" width="10" style="2" customWidth="1"/>
    <col min="1710" max="1710" width="10.42578125" style="2" customWidth="1"/>
    <col min="1711" max="1711" width="9.28515625" style="2" customWidth="1"/>
    <col min="1712" max="1712" width="12.42578125" style="2" customWidth="1"/>
    <col min="1713" max="1713" width="13.85546875" style="2" customWidth="1"/>
    <col min="1714" max="1714" width="13.42578125" style="2" customWidth="1"/>
    <col min="1715" max="1950" width="26" style="2"/>
    <col min="1951" max="1951" width="22.42578125" style="2" customWidth="1"/>
    <col min="1952" max="1952" width="26" style="2" customWidth="1"/>
    <col min="1953" max="1953" width="36.42578125" style="2" customWidth="1"/>
    <col min="1954" max="1954" width="7.42578125" style="2" customWidth="1"/>
    <col min="1955" max="1955" width="7.28515625" style="2" customWidth="1"/>
    <col min="1956" max="1956" width="10.42578125" style="2" customWidth="1"/>
    <col min="1957" max="1957" width="9.42578125" style="2" customWidth="1"/>
    <col min="1958" max="1958" width="10" style="2" customWidth="1"/>
    <col min="1959" max="1959" width="8.42578125" style="2" customWidth="1"/>
    <col min="1960" max="1960" width="9.7109375" style="2" customWidth="1"/>
    <col min="1961" max="1961" width="9.140625" style="2" customWidth="1"/>
    <col min="1962" max="1962" width="8.42578125" style="2" customWidth="1"/>
    <col min="1963" max="1963" width="10" style="2" customWidth="1"/>
    <col min="1964" max="1964" width="10.42578125" style="2" customWidth="1"/>
    <col min="1965" max="1965" width="10" style="2" customWidth="1"/>
    <col min="1966" max="1966" width="10.42578125" style="2" customWidth="1"/>
    <col min="1967" max="1967" width="9.28515625" style="2" customWidth="1"/>
    <col min="1968" max="1968" width="12.42578125" style="2" customWidth="1"/>
    <col min="1969" max="1969" width="13.85546875" style="2" customWidth="1"/>
    <col min="1970" max="1970" width="13.42578125" style="2" customWidth="1"/>
    <col min="1971" max="2206" width="26" style="2"/>
    <col min="2207" max="2207" width="22.42578125" style="2" customWidth="1"/>
    <col min="2208" max="2208" width="26" style="2" customWidth="1"/>
    <col min="2209" max="2209" width="36.42578125" style="2" customWidth="1"/>
    <col min="2210" max="2210" width="7.42578125" style="2" customWidth="1"/>
    <col min="2211" max="2211" width="7.28515625" style="2" customWidth="1"/>
    <col min="2212" max="2212" width="10.42578125" style="2" customWidth="1"/>
    <col min="2213" max="2213" width="9.42578125" style="2" customWidth="1"/>
    <col min="2214" max="2214" width="10" style="2" customWidth="1"/>
    <col min="2215" max="2215" width="8.42578125" style="2" customWidth="1"/>
    <col min="2216" max="2216" width="9.7109375" style="2" customWidth="1"/>
    <col min="2217" max="2217" width="9.140625" style="2" customWidth="1"/>
    <col min="2218" max="2218" width="8.42578125" style="2" customWidth="1"/>
    <col min="2219" max="2219" width="10" style="2" customWidth="1"/>
    <col min="2220" max="2220" width="10.42578125" style="2" customWidth="1"/>
    <col min="2221" max="2221" width="10" style="2" customWidth="1"/>
    <col min="2222" max="2222" width="10.42578125" style="2" customWidth="1"/>
    <col min="2223" max="2223" width="9.28515625" style="2" customWidth="1"/>
    <col min="2224" max="2224" width="12.42578125" style="2" customWidth="1"/>
    <col min="2225" max="2225" width="13.85546875" style="2" customWidth="1"/>
    <col min="2226" max="2226" width="13.42578125" style="2" customWidth="1"/>
    <col min="2227" max="2462" width="26" style="2"/>
    <col min="2463" max="2463" width="22.42578125" style="2" customWidth="1"/>
    <col min="2464" max="2464" width="26" style="2" customWidth="1"/>
    <col min="2465" max="2465" width="36.42578125" style="2" customWidth="1"/>
    <col min="2466" max="2466" width="7.42578125" style="2" customWidth="1"/>
    <col min="2467" max="2467" width="7.28515625" style="2" customWidth="1"/>
    <col min="2468" max="2468" width="10.42578125" style="2" customWidth="1"/>
    <col min="2469" max="2469" width="9.42578125" style="2" customWidth="1"/>
    <col min="2470" max="2470" width="10" style="2" customWidth="1"/>
    <col min="2471" max="2471" width="8.42578125" style="2" customWidth="1"/>
    <col min="2472" max="2472" width="9.7109375" style="2" customWidth="1"/>
    <col min="2473" max="2473" width="9.140625" style="2" customWidth="1"/>
    <col min="2474" max="2474" width="8.42578125" style="2" customWidth="1"/>
    <col min="2475" max="2475" width="10" style="2" customWidth="1"/>
    <col min="2476" max="2476" width="10.42578125" style="2" customWidth="1"/>
    <col min="2477" max="2477" width="10" style="2" customWidth="1"/>
    <col min="2478" max="2478" width="10.42578125" style="2" customWidth="1"/>
    <col min="2479" max="2479" width="9.28515625" style="2" customWidth="1"/>
    <col min="2480" max="2480" width="12.42578125" style="2" customWidth="1"/>
    <col min="2481" max="2481" width="13.85546875" style="2" customWidth="1"/>
    <col min="2482" max="2482" width="13.42578125" style="2" customWidth="1"/>
    <col min="2483" max="2718" width="26" style="2"/>
    <col min="2719" max="2719" width="22.42578125" style="2" customWidth="1"/>
    <col min="2720" max="2720" width="26" style="2" customWidth="1"/>
    <col min="2721" max="2721" width="36.42578125" style="2" customWidth="1"/>
    <col min="2722" max="2722" width="7.42578125" style="2" customWidth="1"/>
    <col min="2723" max="2723" width="7.28515625" style="2" customWidth="1"/>
    <col min="2724" max="2724" width="10.42578125" style="2" customWidth="1"/>
    <col min="2725" max="2725" width="9.42578125" style="2" customWidth="1"/>
    <col min="2726" max="2726" width="10" style="2" customWidth="1"/>
    <col min="2727" max="2727" width="8.42578125" style="2" customWidth="1"/>
    <col min="2728" max="2728" width="9.7109375" style="2" customWidth="1"/>
    <col min="2729" max="2729" width="9.140625" style="2" customWidth="1"/>
    <col min="2730" max="2730" width="8.42578125" style="2" customWidth="1"/>
    <col min="2731" max="2731" width="10" style="2" customWidth="1"/>
    <col min="2732" max="2732" width="10.42578125" style="2" customWidth="1"/>
    <col min="2733" max="2733" width="10" style="2" customWidth="1"/>
    <col min="2734" max="2734" width="10.42578125" style="2" customWidth="1"/>
    <col min="2735" max="2735" width="9.28515625" style="2" customWidth="1"/>
    <col min="2736" max="2736" width="12.42578125" style="2" customWidth="1"/>
    <col min="2737" max="2737" width="13.85546875" style="2" customWidth="1"/>
    <col min="2738" max="2738" width="13.42578125" style="2" customWidth="1"/>
    <col min="2739" max="2974" width="26" style="2"/>
    <col min="2975" max="2975" width="22.42578125" style="2" customWidth="1"/>
    <col min="2976" max="2976" width="26" style="2" customWidth="1"/>
    <col min="2977" max="2977" width="36.42578125" style="2" customWidth="1"/>
    <col min="2978" max="2978" width="7.42578125" style="2" customWidth="1"/>
    <col min="2979" max="2979" width="7.28515625" style="2" customWidth="1"/>
    <col min="2980" max="2980" width="10.42578125" style="2" customWidth="1"/>
    <col min="2981" max="2981" width="9.42578125" style="2" customWidth="1"/>
    <col min="2982" max="2982" width="10" style="2" customWidth="1"/>
    <col min="2983" max="2983" width="8.42578125" style="2" customWidth="1"/>
    <col min="2984" max="2984" width="9.7109375" style="2" customWidth="1"/>
    <col min="2985" max="2985" width="9.140625" style="2" customWidth="1"/>
    <col min="2986" max="2986" width="8.42578125" style="2" customWidth="1"/>
    <col min="2987" max="2987" width="10" style="2" customWidth="1"/>
    <col min="2988" max="2988" width="10.42578125" style="2" customWidth="1"/>
    <col min="2989" max="2989" width="10" style="2" customWidth="1"/>
    <col min="2990" max="2990" width="10.42578125" style="2" customWidth="1"/>
    <col min="2991" max="2991" width="9.28515625" style="2" customWidth="1"/>
    <col min="2992" max="2992" width="12.42578125" style="2" customWidth="1"/>
    <col min="2993" max="2993" width="13.85546875" style="2" customWidth="1"/>
    <col min="2994" max="2994" width="13.42578125" style="2" customWidth="1"/>
    <col min="2995" max="3230" width="26" style="2"/>
    <col min="3231" max="3231" width="22.42578125" style="2" customWidth="1"/>
    <col min="3232" max="3232" width="26" style="2" customWidth="1"/>
    <col min="3233" max="3233" width="36.42578125" style="2" customWidth="1"/>
    <col min="3234" max="3234" width="7.42578125" style="2" customWidth="1"/>
    <col min="3235" max="3235" width="7.28515625" style="2" customWidth="1"/>
    <col min="3236" max="3236" width="10.42578125" style="2" customWidth="1"/>
    <col min="3237" max="3237" width="9.42578125" style="2" customWidth="1"/>
    <col min="3238" max="3238" width="10" style="2" customWidth="1"/>
    <col min="3239" max="3239" width="8.42578125" style="2" customWidth="1"/>
    <col min="3240" max="3240" width="9.7109375" style="2" customWidth="1"/>
    <col min="3241" max="3241" width="9.140625" style="2" customWidth="1"/>
    <col min="3242" max="3242" width="8.42578125" style="2" customWidth="1"/>
    <col min="3243" max="3243" width="10" style="2" customWidth="1"/>
    <col min="3244" max="3244" width="10.42578125" style="2" customWidth="1"/>
    <col min="3245" max="3245" width="10" style="2" customWidth="1"/>
    <col min="3246" max="3246" width="10.42578125" style="2" customWidth="1"/>
    <col min="3247" max="3247" width="9.28515625" style="2" customWidth="1"/>
    <col min="3248" max="3248" width="12.42578125" style="2" customWidth="1"/>
    <col min="3249" max="3249" width="13.85546875" style="2" customWidth="1"/>
    <col min="3250" max="3250" width="13.42578125" style="2" customWidth="1"/>
    <col min="3251" max="3486" width="26" style="2"/>
    <col min="3487" max="3487" width="22.42578125" style="2" customWidth="1"/>
    <col min="3488" max="3488" width="26" style="2" customWidth="1"/>
    <col min="3489" max="3489" width="36.42578125" style="2" customWidth="1"/>
    <col min="3490" max="3490" width="7.42578125" style="2" customWidth="1"/>
    <col min="3491" max="3491" width="7.28515625" style="2" customWidth="1"/>
    <col min="3492" max="3492" width="10.42578125" style="2" customWidth="1"/>
    <col min="3493" max="3493" width="9.42578125" style="2" customWidth="1"/>
    <col min="3494" max="3494" width="10" style="2" customWidth="1"/>
    <col min="3495" max="3495" width="8.42578125" style="2" customWidth="1"/>
    <col min="3496" max="3496" width="9.7109375" style="2" customWidth="1"/>
    <col min="3497" max="3497" width="9.140625" style="2" customWidth="1"/>
    <col min="3498" max="3498" width="8.42578125" style="2" customWidth="1"/>
    <col min="3499" max="3499" width="10" style="2" customWidth="1"/>
    <col min="3500" max="3500" width="10.42578125" style="2" customWidth="1"/>
    <col min="3501" max="3501" width="10" style="2" customWidth="1"/>
    <col min="3502" max="3502" width="10.42578125" style="2" customWidth="1"/>
    <col min="3503" max="3503" width="9.28515625" style="2" customWidth="1"/>
    <col min="3504" max="3504" width="12.42578125" style="2" customWidth="1"/>
    <col min="3505" max="3505" width="13.85546875" style="2" customWidth="1"/>
    <col min="3506" max="3506" width="13.42578125" style="2" customWidth="1"/>
    <col min="3507" max="3742" width="26" style="2"/>
    <col min="3743" max="3743" width="22.42578125" style="2" customWidth="1"/>
    <col min="3744" max="3744" width="26" style="2" customWidth="1"/>
    <col min="3745" max="3745" width="36.42578125" style="2" customWidth="1"/>
    <col min="3746" max="3746" width="7.42578125" style="2" customWidth="1"/>
    <col min="3747" max="3747" width="7.28515625" style="2" customWidth="1"/>
    <col min="3748" max="3748" width="10.42578125" style="2" customWidth="1"/>
    <col min="3749" max="3749" width="9.42578125" style="2" customWidth="1"/>
    <col min="3750" max="3750" width="10" style="2" customWidth="1"/>
    <col min="3751" max="3751" width="8.42578125" style="2" customWidth="1"/>
    <col min="3752" max="3752" width="9.7109375" style="2" customWidth="1"/>
    <col min="3753" max="3753" width="9.140625" style="2" customWidth="1"/>
    <col min="3754" max="3754" width="8.42578125" style="2" customWidth="1"/>
    <col min="3755" max="3755" width="10" style="2" customWidth="1"/>
    <col min="3756" max="3756" width="10.42578125" style="2" customWidth="1"/>
    <col min="3757" max="3757" width="10" style="2" customWidth="1"/>
    <col min="3758" max="3758" width="10.42578125" style="2" customWidth="1"/>
    <col min="3759" max="3759" width="9.28515625" style="2" customWidth="1"/>
    <col min="3760" max="3760" width="12.42578125" style="2" customWidth="1"/>
    <col min="3761" max="3761" width="13.85546875" style="2" customWidth="1"/>
    <col min="3762" max="3762" width="13.42578125" style="2" customWidth="1"/>
    <col min="3763" max="3998" width="26" style="2"/>
    <col min="3999" max="3999" width="22.42578125" style="2" customWidth="1"/>
    <col min="4000" max="4000" width="26" style="2" customWidth="1"/>
    <col min="4001" max="4001" width="36.42578125" style="2" customWidth="1"/>
    <col min="4002" max="4002" width="7.42578125" style="2" customWidth="1"/>
    <col min="4003" max="4003" width="7.28515625" style="2" customWidth="1"/>
    <col min="4004" max="4004" width="10.42578125" style="2" customWidth="1"/>
    <col min="4005" max="4005" width="9.42578125" style="2" customWidth="1"/>
    <col min="4006" max="4006" width="10" style="2" customWidth="1"/>
    <col min="4007" max="4007" width="8.42578125" style="2" customWidth="1"/>
    <col min="4008" max="4008" width="9.7109375" style="2" customWidth="1"/>
    <col min="4009" max="4009" width="9.140625" style="2" customWidth="1"/>
    <col min="4010" max="4010" width="8.42578125" style="2" customWidth="1"/>
    <col min="4011" max="4011" width="10" style="2" customWidth="1"/>
    <col min="4012" max="4012" width="10.42578125" style="2" customWidth="1"/>
    <col min="4013" max="4013" width="10" style="2" customWidth="1"/>
    <col min="4014" max="4014" width="10.42578125" style="2" customWidth="1"/>
    <col min="4015" max="4015" width="9.28515625" style="2" customWidth="1"/>
    <col min="4016" max="4016" width="12.42578125" style="2" customWidth="1"/>
    <col min="4017" max="4017" width="13.85546875" style="2" customWidth="1"/>
    <col min="4018" max="4018" width="13.42578125" style="2" customWidth="1"/>
    <col min="4019" max="4254" width="26" style="2"/>
    <col min="4255" max="4255" width="22.42578125" style="2" customWidth="1"/>
    <col min="4256" max="4256" width="26" style="2" customWidth="1"/>
    <col min="4257" max="4257" width="36.42578125" style="2" customWidth="1"/>
    <col min="4258" max="4258" width="7.42578125" style="2" customWidth="1"/>
    <col min="4259" max="4259" width="7.28515625" style="2" customWidth="1"/>
    <col min="4260" max="4260" width="10.42578125" style="2" customWidth="1"/>
    <col min="4261" max="4261" width="9.42578125" style="2" customWidth="1"/>
    <col min="4262" max="4262" width="10" style="2" customWidth="1"/>
    <col min="4263" max="4263" width="8.42578125" style="2" customWidth="1"/>
    <col min="4264" max="4264" width="9.7109375" style="2" customWidth="1"/>
    <col min="4265" max="4265" width="9.140625" style="2" customWidth="1"/>
    <col min="4266" max="4266" width="8.42578125" style="2" customWidth="1"/>
    <col min="4267" max="4267" width="10" style="2" customWidth="1"/>
    <col min="4268" max="4268" width="10.42578125" style="2" customWidth="1"/>
    <col min="4269" max="4269" width="10" style="2" customWidth="1"/>
    <col min="4270" max="4270" width="10.42578125" style="2" customWidth="1"/>
    <col min="4271" max="4271" width="9.28515625" style="2" customWidth="1"/>
    <col min="4272" max="4272" width="12.42578125" style="2" customWidth="1"/>
    <col min="4273" max="4273" width="13.85546875" style="2" customWidth="1"/>
    <col min="4274" max="4274" width="13.42578125" style="2" customWidth="1"/>
    <col min="4275" max="4510" width="26" style="2"/>
    <col min="4511" max="4511" width="22.42578125" style="2" customWidth="1"/>
    <col min="4512" max="4512" width="26" style="2" customWidth="1"/>
    <col min="4513" max="4513" width="36.42578125" style="2" customWidth="1"/>
    <col min="4514" max="4514" width="7.42578125" style="2" customWidth="1"/>
    <col min="4515" max="4515" width="7.28515625" style="2" customWidth="1"/>
    <col min="4516" max="4516" width="10.42578125" style="2" customWidth="1"/>
    <col min="4517" max="4517" width="9.42578125" style="2" customWidth="1"/>
    <col min="4518" max="4518" width="10" style="2" customWidth="1"/>
    <col min="4519" max="4519" width="8.42578125" style="2" customWidth="1"/>
    <col min="4520" max="4520" width="9.7109375" style="2" customWidth="1"/>
    <col min="4521" max="4521" width="9.140625" style="2" customWidth="1"/>
    <col min="4522" max="4522" width="8.42578125" style="2" customWidth="1"/>
    <col min="4523" max="4523" width="10" style="2" customWidth="1"/>
    <col min="4524" max="4524" width="10.42578125" style="2" customWidth="1"/>
    <col min="4525" max="4525" width="10" style="2" customWidth="1"/>
    <col min="4526" max="4526" width="10.42578125" style="2" customWidth="1"/>
    <col min="4527" max="4527" width="9.28515625" style="2" customWidth="1"/>
    <col min="4528" max="4528" width="12.42578125" style="2" customWidth="1"/>
    <col min="4529" max="4529" width="13.85546875" style="2" customWidth="1"/>
    <col min="4530" max="4530" width="13.42578125" style="2" customWidth="1"/>
    <col min="4531" max="4766" width="26" style="2"/>
    <col min="4767" max="4767" width="22.42578125" style="2" customWidth="1"/>
    <col min="4768" max="4768" width="26" style="2" customWidth="1"/>
    <col min="4769" max="4769" width="36.42578125" style="2" customWidth="1"/>
    <col min="4770" max="4770" width="7.42578125" style="2" customWidth="1"/>
    <col min="4771" max="4771" width="7.28515625" style="2" customWidth="1"/>
    <col min="4772" max="4772" width="10.42578125" style="2" customWidth="1"/>
    <col min="4773" max="4773" width="9.42578125" style="2" customWidth="1"/>
    <col min="4774" max="4774" width="10" style="2" customWidth="1"/>
    <col min="4775" max="4775" width="8.42578125" style="2" customWidth="1"/>
    <col min="4776" max="4776" width="9.7109375" style="2" customWidth="1"/>
    <col min="4777" max="4777" width="9.140625" style="2" customWidth="1"/>
    <col min="4778" max="4778" width="8.42578125" style="2" customWidth="1"/>
    <col min="4779" max="4779" width="10" style="2" customWidth="1"/>
    <col min="4780" max="4780" width="10.42578125" style="2" customWidth="1"/>
    <col min="4781" max="4781" width="10" style="2" customWidth="1"/>
    <col min="4782" max="4782" width="10.42578125" style="2" customWidth="1"/>
    <col min="4783" max="4783" width="9.28515625" style="2" customWidth="1"/>
    <col min="4784" max="4784" width="12.42578125" style="2" customWidth="1"/>
    <col min="4785" max="4785" width="13.85546875" style="2" customWidth="1"/>
    <col min="4786" max="4786" width="13.42578125" style="2" customWidth="1"/>
    <col min="4787" max="5022" width="26" style="2"/>
    <col min="5023" max="5023" width="22.42578125" style="2" customWidth="1"/>
    <col min="5024" max="5024" width="26" style="2" customWidth="1"/>
    <col min="5025" max="5025" width="36.42578125" style="2" customWidth="1"/>
    <col min="5026" max="5026" width="7.42578125" style="2" customWidth="1"/>
    <col min="5027" max="5027" width="7.28515625" style="2" customWidth="1"/>
    <col min="5028" max="5028" width="10.42578125" style="2" customWidth="1"/>
    <col min="5029" max="5029" width="9.42578125" style="2" customWidth="1"/>
    <col min="5030" max="5030" width="10" style="2" customWidth="1"/>
    <col min="5031" max="5031" width="8.42578125" style="2" customWidth="1"/>
    <col min="5032" max="5032" width="9.7109375" style="2" customWidth="1"/>
    <col min="5033" max="5033" width="9.140625" style="2" customWidth="1"/>
    <col min="5034" max="5034" width="8.42578125" style="2" customWidth="1"/>
    <col min="5035" max="5035" width="10" style="2" customWidth="1"/>
    <col min="5036" max="5036" width="10.42578125" style="2" customWidth="1"/>
    <col min="5037" max="5037" width="10" style="2" customWidth="1"/>
    <col min="5038" max="5038" width="10.42578125" style="2" customWidth="1"/>
    <col min="5039" max="5039" width="9.28515625" style="2" customWidth="1"/>
    <col min="5040" max="5040" width="12.42578125" style="2" customWidth="1"/>
    <col min="5041" max="5041" width="13.85546875" style="2" customWidth="1"/>
    <col min="5042" max="5042" width="13.42578125" style="2" customWidth="1"/>
    <col min="5043" max="5278" width="26" style="2"/>
    <col min="5279" max="5279" width="22.42578125" style="2" customWidth="1"/>
    <col min="5280" max="5280" width="26" style="2" customWidth="1"/>
    <col min="5281" max="5281" width="36.42578125" style="2" customWidth="1"/>
    <col min="5282" max="5282" width="7.42578125" style="2" customWidth="1"/>
    <col min="5283" max="5283" width="7.28515625" style="2" customWidth="1"/>
    <col min="5284" max="5284" width="10.42578125" style="2" customWidth="1"/>
    <col min="5285" max="5285" width="9.42578125" style="2" customWidth="1"/>
    <col min="5286" max="5286" width="10" style="2" customWidth="1"/>
    <col min="5287" max="5287" width="8.42578125" style="2" customWidth="1"/>
    <col min="5288" max="5288" width="9.7109375" style="2" customWidth="1"/>
    <col min="5289" max="5289" width="9.140625" style="2" customWidth="1"/>
    <col min="5290" max="5290" width="8.42578125" style="2" customWidth="1"/>
    <col min="5291" max="5291" width="10" style="2" customWidth="1"/>
    <col min="5292" max="5292" width="10.42578125" style="2" customWidth="1"/>
    <col min="5293" max="5293" width="10" style="2" customWidth="1"/>
    <col min="5294" max="5294" width="10.42578125" style="2" customWidth="1"/>
    <col min="5295" max="5295" width="9.28515625" style="2" customWidth="1"/>
    <col min="5296" max="5296" width="12.42578125" style="2" customWidth="1"/>
    <col min="5297" max="5297" width="13.85546875" style="2" customWidth="1"/>
    <col min="5298" max="5298" width="13.42578125" style="2" customWidth="1"/>
    <col min="5299" max="5534" width="26" style="2"/>
    <col min="5535" max="5535" width="22.42578125" style="2" customWidth="1"/>
    <col min="5536" max="5536" width="26" style="2" customWidth="1"/>
    <col min="5537" max="5537" width="36.42578125" style="2" customWidth="1"/>
    <col min="5538" max="5538" width="7.42578125" style="2" customWidth="1"/>
    <col min="5539" max="5539" width="7.28515625" style="2" customWidth="1"/>
    <col min="5540" max="5540" width="10.42578125" style="2" customWidth="1"/>
    <col min="5541" max="5541" width="9.42578125" style="2" customWidth="1"/>
    <col min="5542" max="5542" width="10" style="2" customWidth="1"/>
    <col min="5543" max="5543" width="8.42578125" style="2" customWidth="1"/>
    <col min="5544" max="5544" width="9.7109375" style="2" customWidth="1"/>
    <col min="5545" max="5545" width="9.140625" style="2" customWidth="1"/>
    <col min="5546" max="5546" width="8.42578125" style="2" customWidth="1"/>
    <col min="5547" max="5547" width="10" style="2" customWidth="1"/>
    <col min="5548" max="5548" width="10.42578125" style="2" customWidth="1"/>
    <col min="5549" max="5549" width="10" style="2" customWidth="1"/>
    <col min="5550" max="5550" width="10.42578125" style="2" customWidth="1"/>
    <col min="5551" max="5551" width="9.28515625" style="2" customWidth="1"/>
    <col min="5552" max="5552" width="12.42578125" style="2" customWidth="1"/>
    <col min="5553" max="5553" width="13.85546875" style="2" customWidth="1"/>
    <col min="5554" max="5554" width="13.42578125" style="2" customWidth="1"/>
    <col min="5555" max="5790" width="26" style="2"/>
    <col min="5791" max="5791" width="22.42578125" style="2" customWidth="1"/>
    <col min="5792" max="5792" width="26" style="2" customWidth="1"/>
    <col min="5793" max="5793" width="36.42578125" style="2" customWidth="1"/>
    <col min="5794" max="5794" width="7.42578125" style="2" customWidth="1"/>
    <col min="5795" max="5795" width="7.28515625" style="2" customWidth="1"/>
    <col min="5796" max="5796" width="10.42578125" style="2" customWidth="1"/>
    <col min="5797" max="5797" width="9.42578125" style="2" customWidth="1"/>
    <col min="5798" max="5798" width="10" style="2" customWidth="1"/>
    <col min="5799" max="5799" width="8.42578125" style="2" customWidth="1"/>
    <col min="5800" max="5800" width="9.7109375" style="2" customWidth="1"/>
    <col min="5801" max="5801" width="9.140625" style="2" customWidth="1"/>
    <col min="5802" max="5802" width="8.42578125" style="2" customWidth="1"/>
    <col min="5803" max="5803" width="10" style="2" customWidth="1"/>
    <col min="5804" max="5804" width="10.42578125" style="2" customWidth="1"/>
    <col min="5805" max="5805" width="10" style="2" customWidth="1"/>
    <col min="5806" max="5806" width="10.42578125" style="2" customWidth="1"/>
    <col min="5807" max="5807" width="9.28515625" style="2" customWidth="1"/>
    <col min="5808" max="5808" width="12.42578125" style="2" customWidth="1"/>
    <col min="5809" max="5809" width="13.85546875" style="2" customWidth="1"/>
    <col min="5810" max="5810" width="13.42578125" style="2" customWidth="1"/>
    <col min="5811" max="6046" width="26" style="2"/>
    <col min="6047" max="6047" width="22.42578125" style="2" customWidth="1"/>
    <col min="6048" max="6048" width="26" style="2" customWidth="1"/>
    <col min="6049" max="6049" width="36.42578125" style="2" customWidth="1"/>
    <col min="6050" max="6050" width="7.42578125" style="2" customWidth="1"/>
    <col min="6051" max="6051" width="7.28515625" style="2" customWidth="1"/>
    <col min="6052" max="6052" width="10.42578125" style="2" customWidth="1"/>
    <col min="6053" max="6053" width="9.42578125" style="2" customWidth="1"/>
    <col min="6054" max="6054" width="10" style="2" customWidth="1"/>
    <col min="6055" max="6055" width="8.42578125" style="2" customWidth="1"/>
    <col min="6056" max="6056" width="9.7109375" style="2" customWidth="1"/>
    <col min="6057" max="6057" width="9.140625" style="2" customWidth="1"/>
    <col min="6058" max="6058" width="8.42578125" style="2" customWidth="1"/>
    <col min="6059" max="6059" width="10" style="2" customWidth="1"/>
    <col min="6060" max="6060" width="10.42578125" style="2" customWidth="1"/>
    <col min="6061" max="6061" width="10" style="2" customWidth="1"/>
    <col min="6062" max="6062" width="10.42578125" style="2" customWidth="1"/>
    <col min="6063" max="6063" width="9.28515625" style="2" customWidth="1"/>
    <col min="6064" max="6064" width="12.42578125" style="2" customWidth="1"/>
    <col min="6065" max="6065" width="13.85546875" style="2" customWidth="1"/>
    <col min="6066" max="6066" width="13.42578125" style="2" customWidth="1"/>
    <col min="6067" max="6302" width="26" style="2"/>
    <col min="6303" max="6303" width="22.42578125" style="2" customWidth="1"/>
    <col min="6304" max="6304" width="26" style="2" customWidth="1"/>
    <col min="6305" max="6305" width="36.42578125" style="2" customWidth="1"/>
    <col min="6306" max="6306" width="7.42578125" style="2" customWidth="1"/>
    <col min="6307" max="6307" width="7.28515625" style="2" customWidth="1"/>
    <col min="6308" max="6308" width="10.42578125" style="2" customWidth="1"/>
    <col min="6309" max="6309" width="9.42578125" style="2" customWidth="1"/>
    <col min="6310" max="6310" width="10" style="2" customWidth="1"/>
    <col min="6311" max="6311" width="8.42578125" style="2" customWidth="1"/>
    <col min="6312" max="6312" width="9.7109375" style="2" customWidth="1"/>
    <col min="6313" max="6313" width="9.140625" style="2" customWidth="1"/>
    <col min="6314" max="6314" width="8.42578125" style="2" customWidth="1"/>
    <col min="6315" max="6315" width="10" style="2" customWidth="1"/>
    <col min="6316" max="6316" width="10.42578125" style="2" customWidth="1"/>
    <col min="6317" max="6317" width="10" style="2" customWidth="1"/>
    <col min="6318" max="6318" width="10.42578125" style="2" customWidth="1"/>
    <col min="6319" max="6319" width="9.28515625" style="2" customWidth="1"/>
    <col min="6320" max="6320" width="12.42578125" style="2" customWidth="1"/>
    <col min="6321" max="6321" width="13.85546875" style="2" customWidth="1"/>
    <col min="6322" max="6322" width="13.42578125" style="2" customWidth="1"/>
    <col min="6323" max="6558" width="26" style="2"/>
    <col min="6559" max="6559" width="22.42578125" style="2" customWidth="1"/>
    <col min="6560" max="6560" width="26" style="2" customWidth="1"/>
    <col min="6561" max="6561" width="36.42578125" style="2" customWidth="1"/>
    <col min="6562" max="6562" width="7.42578125" style="2" customWidth="1"/>
    <col min="6563" max="6563" width="7.28515625" style="2" customWidth="1"/>
    <col min="6564" max="6564" width="10.42578125" style="2" customWidth="1"/>
    <col min="6565" max="6565" width="9.42578125" style="2" customWidth="1"/>
    <col min="6566" max="6566" width="10" style="2" customWidth="1"/>
    <col min="6567" max="6567" width="8.42578125" style="2" customWidth="1"/>
    <col min="6568" max="6568" width="9.7109375" style="2" customWidth="1"/>
    <col min="6569" max="6569" width="9.140625" style="2" customWidth="1"/>
    <col min="6570" max="6570" width="8.42578125" style="2" customWidth="1"/>
    <col min="6571" max="6571" width="10" style="2" customWidth="1"/>
    <col min="6572" max="6572" width="10.42578125" style="2" customWidth="1"/>
    <col min="6573" max="6573" width="10" style="2" customWidth="1"/>
    <col min="6574" max="6574" width="10.42578125" style="2" customWidth="1"/>
    <col min="6575" max="6575" width="9.28515625" style="2" customWidth="1"/>
    <col min="6576" max="6576" width="12.42578125" style="2" customWidth="1"/>
    <col min="6577" max="6577" width="13.85546875" style="2" customWidth="1"/>
    <col min="6578" max="6578" width="13.42578125" style="2" customWidth="1"/>
    <col min="6579" max="6814" width="26" style="2"/>
    <col min="6815" max="6815" width="22.42578125" style="2" customWidth="1"/>
    <col min="6816" max="6816" width="26" style="2" customWidth="1"/>
    <col min="6817" max="6817" width="36.42578125" style="2" customWidth="1"/>
    <col min="6818" max="6818" width="7.42578125" style="2" customWidth="1"/>
    <col min="6819" max="6819" width="7.28515625" style="2" customWidth="1"/>
    <col min="6820" max="6820" width="10.42578125" style="2" customWidth="1"/>
    <col min="6821" max="6821" width="9.42578125" style="2" customWidth="1"/>
    <col min="6822" max="6822" width="10" style="2" customWidth="1"/>
    <col min="6823" max="6823" width="8.42578125" style="2" customWidth="1"/>
    <col min="6824" max="6824" width="9.7109375" style="2" customWidth="1"/>
    <col min="6825" max="6825" width="9.140625" style="2" customWidth="1"/>
    <col min="6826" max="6826" width="8.42578125" style="2" customWidth="1"/>
    <col min="6827" max="6827" width="10" style="2" customWidth="1"/>
    <col min="6828" max="6828" width="10.42578125" style="2" customWidth="1"/>
    <col min="6829" max="6829" width="10" style="2" customWidth="1"/>
    <col min="6830" max="6830" width="10.42578125" style="2" customWidth="1"/>
    <col min="6831" max="6831" width="9.28515625" style="2" customWidth="1"/>
    <col min="6832" max="6832" width="12.42578125" style="2" customWidth="1"/>
    <col min="6833" max="6833" width="13.85546875" style="2" customWidth="1"/>
    <col min="6834" max="6834" width="13.42578125" style="2" customWidth="1"/>
    <col min="6835" max="7070" width="26" style="2"/>
    <col min="7071" max="7071" width="22.42578125" style="2" customWidth="1"/>
    <col min="7072" max="7072" width="26" style="2" customWidth="1"/>
    <col min="7073" max="7073" width="36.42578125" style="2" customWidth="1"/>
    <col min="7074" max="7074" width="7.42578125" style="2" customWidth="1"/>
    <col min="7075" max="7075" width="7.28515625" style="2" customWidth="1"/>
    <col min="7076" max="7076" width="10.42578125" style="2" customWidth="1"/>
    <col min="7077" max="7077" width="9.42578125" style="2" customWidth="1"/>
    <col min="7078" max="7078" width="10" style="2" customWidth="1"/>
    <col min="7079" max="7079" width="8.42578125" style="2" customWidth="1"/>
    <col min="7080" max="7080" width="9.7109375" style="2" customWidth="1"/>
    <col min="7081" max="7081" width="9.140625" style="2" customWidth="1"/>
    <col min="7082" max="7082" width="8.42578125" style="2" customWidth="1"/>
    <col min="7083" max="7083" width="10" style="2" customWidth="1"/>
    <col min="7084" max="7084" width="10.42578125" style="2" customWidth="1"/>
    <col min="7085" max="7085" width="10" style="2" customWidth="1"/>
    <col min="7086" max="7086" width="10.42578125" style="2" customWidth="1"/>
    <col min="7087" max="7087" width="9.28515625" style="2" customWidth="1"/>
    <col min="7088" max="7088" width="12.42578125" style="2" customWidth="1"/>
    <col min="7089" max="7089" width="13.85546875" style="2" customWidth="1"/>
    <col min="7090" max="7090" width="13.42578125" style="2" customWidth="1"/>
    <col min="7091" max="7326" width="26" style="2"/>
    <col min="7327" max="7327" width="22.42578125" style="2" customWidth="1"/>
    <col min="7328" max="7328" width="26" style="2" customWidth="1"/>
    <col min="7329" max="7329" width="36.42578125" style="2" customWidth="1"/>
    <col min="7330" max="7330" width="7.42578125" style="2" customWidth="1"/>
    <col min="7331" max="7331" width="7.28515625" style="2" customWidth="1"/>
    <col min="7332" max="7332" width="10.42578125" style="2" customWidth="1"/>
    <col min="7333" max="7333" width="9.42578125" style="2" customWidth="1"/>
    <col min="7334" max="7334" width="10" style="2" customWidth="1"/>
    <col min="7335" max="7335" width="8.42578125" style="2" customWidth="1"/>
    <col min="7336" max="7336" width="9.7109375" style="2" customWidth="1"/>
    <col min="7337" max="7337" width="9.140625" style="2" customWidth="1"/>
    <col min="7338" max="7338" width="8.42578125" style="2" customWidth="1"/>
    <col min="7339" max="7339" width="10" style="2" customWidth="1"/>
    <col min="7340" max="7340" width="10.42578125" style="2" customWidth="1"/>
    <col min="7341" max="7341" width="10" style="2" customWidth="1"/>
    <col min="7342" max="7342" width="10.42578125" style="2" customWidth="1"/>
    <col min="7343" max="7343" width="9.28515625" style="2" customWidth="1"/>
    <col min="7344" max="7344" width="12.42578125" style="2" customWidth="1"/>
    <col min="7345" max="7345" width="13.85546875" style="2" customWidth="1"/>
    <col min="7346" max="7346" width="13.42578125" style="2" customWidth="1"/>
    <col min="7347" max="7582" width="26" style="2"/>
    <col min="7583" max="7583" width="22.42578125" style="2" customWidth="1"/>
    <col min="7584" max="7584" width="26" style="2" customWidth="1"/>
    <col min="7585" max="7585" width="36.42578125" style="2" customWidth="1"/>
    <col min="7586" max="7586" width="7.42578125" style="2" customWidth="1"/>
    <col min="7587" max="7587" width="7.28515625" style="2" customWidth="1"/>
    <col min="7588" max="7588" width="10.42578125" style="2" customWidth="1"/>
    <col min="7589" max="7589" width="9.42578125" style="2" customWidth="1"/>
    <col min="7590" max="7590" width="10" style="2" customWidth="1"/>
    <col min="7591" max="7591" width="8.42578125" style="2" customWidth="1"/>
    <col min="7592" max="7592" width="9.7109375" style="2" customWidth="1"/>
    <col min="7593" max="7593" width="9.140625" style="2" customWidth="1"/>
    <col min="7594" max="7594" width="8.42578125" style="2" customWidth="1"/>
    <col min="7595" max="7595" width="10" style="2" customWidth="1"/>
    <col min="7596" max="7596" width="10.42578125" style="2" customWidth="1"/>
    <col min="7597" max="7597" width="10" style="2" customWidth="1"/>
    <col min="7598" max="7598" width="10.42578125" style="2" customWidth="1"/>
    <col min="7599" max="7599" width="9.28515625" style="2" customWidth="1"/>
    <col min="7600" max="7600" width="12.42578125" style="2" customWidth="1"/>
    <col min="7601" max="7601" width="13.85546875" style="2" customWidth="1"/>
    <col min="7602" max="7602" width="13.42578125" style="2" customWidth="1"/>
    <col min="7603" max="7838" width="26" style="2"/>
    <col min="7839" max="7839" width="22.42578125" style="2" customWidth="1"/>
    <col min="7840" max="7840" width="26" style="2" customWidth="1"/>
    <col min="7841" max="7841" width="36.42578125" style="2" customWidth="1"/>
    <col min="7842" max="7842" width="7.42578125" style="2" customWidth="1"/>
    <col min="7843" max="7843" width="7.28515625" style="2" customWidth="1"/>
    <col min="7844" max="7844" width="10.42578125" style="2" customWidth="1"/>
    <col min="7845" max="7845" width="9.42578125" style="2" customWidth="1"/>
    <col min="7846" max="7846" width="10" style="2" customWidth="1"/>
    <col min="7847" max="7847" width="8.42578125" style="2" customWidth="1"/>
    <col min="7848" max="7848" width="9.7109375" style="2" customWidth="1"/>
    <col min="7849" max="7849" width="9.140625" style="2" customWidth="1"/>
    <col min="7850" max="7850" width="8.42578125" style="2" customWidth="1"/>
    <col min="7851" max="7851" width="10" style="2" customWidth="1"/>
    <col min="7852" max="7852" width="10.42578125" style="2" customWidth="1"/>
    <col min="7853" max="7853" width="10" style="2" customWidth="1"/>
    <col min="7854" max="7854" width="10.42578125" style="2" customWidth="1"/>
    <col min="7855" max="7855" width="9.28515625" style="2" customWidth="1"/>
    <col min="7856" max="7856" width="12.42578125" style="2" customWidth="1"/>
    <col min="7857" max="7857" width="13.85546875" style="2" customWidth="1"/>
    <col min="7858" max="7858" width="13.42578125" style="2" customWidth="1"/>
    <col min="7859" max="8094" width="26" style="2"/>
    <col min="8095" max="8095" width="22.42578125" style="2" customWidth="1"/>
    <col min="8096" max="8096" width="26" style="2" customWidth="1"/>
    <col min="8097" max="8097" width="36.42578125" style="2" customWidth="1"/>
    <col min="8098" max="8098" width="7.42578125" style="2" customWidth="1"/>
    <col min="8099" max="8099" width="7.28515625" style="2" customWidth="1"/>
    <col min="8100" max="8100" width="10.42578125" style="2" customWidth="1"/>
    <col min="8101" max="8101" width="9.42578125" style="2" customWidth="1"/>
    <col min="8102" max="8102" width="10" style="2" customWidth="1"/>
    <col min="8103" max="8103" width="8.42578125" style="2" customWidth="1"/>
    <col min="8104" max="8104" width="9.7109375" style="2" customWidth="1"/>
    <col min="8105" max="8105" width="9.140625" style="2" customWidth="1"/>
    <col min="8106" max="8106" width="8.42578125" style="2" customWidth="1"/>
    <col min="8107" max="8107" width="10" style="2" customWidth="1"/>
    <col min="8108" max="8108" width="10.42578125" style="2" customWidth="1"/>
    <col min="8109" max="8109" width="10" style="2" customWidth="1"/>
    <col min="8110" max="8110" width="10.42578125" style="2" customWidth="1"/>
    <col min="8111" max="8111" width="9.28515625" style="2" customWidth="1"/>
    <col min="8112" max="8112" width="12.42578125" style="2" customWidth="1"/>
    <col min="8113" max="8113" width="13.85546875" style="2" customWidth="1"/>
    <col min="8114" max="8114" width="13.42578125" style="2" customWidth="1"/>
    <col min="8115" max="8350" width="26" style="2"/>
    <col min="8351" max="8351" width="22.42578125" style="2" customWidth="1"/>
    <col min="8352" max="8352" width="26" style="2" customWidth="1"/>
    <col min="8353" max="8353" width="36.42578125" style="2" customWidth="1"/>
    <col min="8354" max="8354" width="7.42578125" style="2" customWidth="1"/>
    <col min="8355" max="8355" width="7.28515625" style="2" customWidth="1"/>
    <col min="8356" max="8356" width="10.42578125" style="2" customWidth="1"/>
    <col min="8357" max="8357" width="9.42578125" style="2" customWidth="1"/>
    <col min="8358" max="8358" width="10" style="2" customWidth="1"/>
    <col min="8359" max="8359" width="8.42578125" style="2" customWidth="1"/>
    <col min="8360" max="8360" width="9.7109375" style="2" customWidth="1"/>
    <col min="8361" max="8361" width="9.140625" style="2" customWidth="1"/>
    <col min="8362" max="8362" width="8.42578125" style="2" customWidth="1"/>
    <col min="8363" max="8363" width="10" style="2" customWidth="1"/>
    <col min="8364" max="8364" width="10.42578125" style="2" customWidth="1"/>
    <col min="8365" max="8365" width="10" style="2" customWidth="1"/>
    <col min="8366" max="8366" width="10.42578125" style="2" customWidth="1"/>
    <col min="8367" max="8367" width="9.28515625" style="2" customWidth="1"/>
    <col min="8368" max="8368" width="12.42578125" style="2" customWidth="1"/>
    <col min="8369" max="8369" width="13.85546875" style="2" customWidth="1"/>
    <col min="8370" max="8370" width="13.42578125" style="2" customWidth="1"/>
    <col min="8371" max="8606" width="26" style="2"/>
    <col min="8607" max="8607" width="22.42578125" style="2" customWidth="1"/>
    <col min="8608" max="8608" width="26" style="2" customWidth="1"/>
    <col min="8609" max="8609" width="36.42578125" style="2" customWidth="1"/>
    <col min="8610" max="8610" width="7.42578125" style="2" customWidth="1"/>
    <col min="8611" max="8611" width="7.28515625" style="2" customWidth="1"/>
    <col min="8612" max="8612" width="10.42578125" style="2" customWidth="1"/>
    <col min="8613" max="8613" width="9.42578125" style="2" customWidth="1"/>
    <col min="8614" max="8614" width="10" style="2" customWidth="1"/>
    <col min="8615" max="8615" width="8.42578125" style="2" customWidth="1"/>
    <col min="8616" max="8616" width="9.7109375" style="2" customWidth="1"/>
    <col min="8617" max="8617" width="9.140625" style="2" customWidth="1"/>
    <col min="8618" max="8618" width="8.42578125" style="2" customWidth="1"/>
    <col min="8619" max="8619" width="10" style="2" customWidth="1"/>
    <col min="8620" max="8620" width="10.42578125" style="2" customWidth="1"/>
    <col min="8621" max="8621" width="10" style="2" customWidth="1"/>
    <col min="8622" max="8622" width="10.42578125" style="2" customWidth="1"/>
    <col min="8623" max="8623" width="9.28515625" style="2" customWidth="1"/>
    <col min="8624" max="8624" width="12.42578125" style="2" customWidth="1"/>
    <col min="8625" max="8625" width="13.85546875" style="2" customWidth="1"/>
    <col min="8626" max="8626" width="13.42578125" style="2" customWidth="1"/>
    <col min="8627" max="8862" width="26" style="2"/>
    <col min="8863" max="8863" width="22.42578125" style="2" customWidth="1"/>
    <col min="8864" max="8864" width="26" style="2" customWidth="1"/>
    <col min="8865" max="8865" width="36.42578125" style="2" customWidth="1"/>
    <col min="8866" max="8866" width="7.42578125" style="2" customWidth="1"/>
    <col min="8867" max="8867" width="7.28515625" style="2" customWidth="1"/>
    <col min="8868" max="8868" width="10.42578125" style="2" customWidth="1"/>
    <col min="8869" max="8869" width="9.42578125" style="2" customWidth="1"/>
    <col min="8870" max="8870" width="10" style="2" customWidth="1"/>
    <col min="8871" max="8871" width="8.42578125" style="2" customWidth="1"/>
    <col min="8872" max="8872" width="9.7109375" style="2" customWidth="1"/>
    <col min="8873" max="8873" width="9.140625" style="2" customWidth="1"/>
    <col min="8874" max="8874" width="8.42578125" style="2" customWidth="1"/>
    <col min="8875" max="8875" width="10" style="2" customWidth="1"/>
    <col min="8876" max="8876" width="10.42578125" style="2" customWidth="1"/>
    <col min="8877" max="8877" width="10" style="2" customWidth="1"/>
    <col min="8878" max="8878" width="10.42578125" style="2" customWidth="1"/>
    <col min="8879" max="8879" width="9.28515625" style="2" customWidth="1"/>
    <col min="8880" max="8880" width="12.42578125" style="2" customWidth="1"/>
    <col min="8881" max="8881" width="13.85546875" style="2" customWidth="1"/>
    <col min="8882" max="8882" width="13.42578125" style="2" customWidth="1"/>
    <col min="8883" max="9118" width="26" style="2"/>
    <col min="9119" max="9119" width="22.42578125" style="2" customWidth="1"/>
    <col min="9120" max="9120" width="26" style="2" customWidth="1"/>
    <col min="9121" max="9121" width="36.42578125" style="2" customWidth="1"/>
    <col min="9122" max="9122" width="7.42578125" style="2" customWidth="1"/>
    <col min="9123" max="9123" width="7.28515625" style="2" customWidth="1"/>
    <col min="9124" max="9124" width="10.42578125" style="2" customWidth="1"/>
    <col min="9125" max="9125" width="9.42578125" style="2" customWidth="1"/>
    <col min="9126" max="9126" width="10" style="2" customWidth="1"/>
    <col min="9127" max="9127" width="8.42578125" style="2" customWidth="1"/>
    <col min="9128" max="9128" width="9.7109375" style="2" customWidth="1"/>
    <col min="9129" max="9129" width="9.140625" style="2" customWidth="1"/>
    <col min="9130" max="9130" width="8.42578125" style="2" customWidth="1"/>
    <col min="9131" max="9131" width="10" style="2" customWidth="1"/>
    <col min="9132" max="9132" width="10.42578125" style="2" customWidth="1"/>
    <col min="9133" max="9133" width="10" style="2" customWidth="1"/>
    <col min="9134" max="9134" width="10.42578125" style="2" customWidth="1"/>
    <col min="9135" max="9135" width="9.28515625" style="2" customWidth="1"/>
    <col min="9136" max="9136" width="12.42578125" style="2" customWidth="1"/>
    <col min="9137" max="9137" width="13.85546875" style="2" customWidth="1"/>
    <col min="9138" max="9138" width="13.42578125" style="2" customWidth="1"/>
    <col min="9139" max="9374" width="26" style="2"/>
    <col min="9375" max="9375" width="22.42578125" style="2" customWidth="1"/>
    <col min="9376" max="9376" width="26" style="2" customWidth="1"/>
    <col min="9377" max="9377" width="36.42578125" style="2" customWidth="1"/>
    <col min="9378" max="9378" width="7.42578125" style="2" customWidth="1"/>
    <col min="9379" max="9379" width="7.28515625" style="2" customWidth="1"/>
    <col min="9380" max="9380" width="10.42578125" style="2" customWidth="1"/>
    <col min="9381" max="9381" width="9.42578125" style="2" customWidth="1"/>
    <col min="9382" max="9382" width="10" style="2" customWidth="1"/>
    <col min="9383" max="9383" width="8.42578125" style="2" customWidth="1"/>
    <col min="9384" max="9384" width="9.7109375" style="2" customWidth="1"/>
    <col min="9385" max="9385" width="9.140625" style="2" customWidth="1"/>
    <col min="9386" max="9386" width="8.42578125" style="2" customWidth="1"/>
    <col min="9387" max="9387" width="10" style="2" customWidth="1"/>
    <col min="9388" max="9388" width="10.42578125" style="2" customWidth="1"/>
    <col min="9389" max="9389" width="10" style="2" customWidth="1"/>
    <col min="9390" max="9390" width="10.42578125" style="2" customWidth="1"/>
    <col min="9391" max="9391" width="9.28515625" style="2" customWidth="1"/>
    <col min="9392" max="9392" width="12.42578125" style="2" customWidth="1"/>
    <col min="9393" max="9393" width="13.85546875" style="2" customWidth="1"/>
    <col min="9394" max="9394" width="13.42578125" style="2" customWidth="1"/>
    <col min="9395" max="9630" width="26" style="2"/>
    <col min="9631" max="9631" width="22.42578125" style="2" customWidth="1"/>
    <col min="9632" max="9632" width="26" style="2" customWidth="1"/>
    <col min="9633" max="9633" width="36.42578125" style="2" customWidth="1"/>
    <col min="9634" max="9634" width="7.42578125" style="2" customWidth="1"/>
    <col min="9635" max="9635" width="7.28515625" style="2" customWidth="1"/>
    <col min="9636" max="9636" width="10.42578125" style="2" customWidth="1"/>
    <col min="9637" max="9637" width="9.42578125" style="2" customWidth="1"/>
    <col min="9638" max="9638" width="10" style="2" customWidth="1"/>
    <col min="9639" max="9639" width="8.42578125" style="2" customWidth="1"/>
    <col min="9640" max="9640" width="9.7109375" style="2" customWidth="1"/>
    <col min="9641" max="9641" width="9.140625" style="2" customWidth="1"/>
    <col min="9642" max="9642" width="8.42578125" style="2" customWidth="1"/>
    <col min="9643" max="9643" width="10" style="2" customWidth="1"/>
    <col min="9644" max="9644" width="10.42578125" style="2" customWidth="1"/>
    <col min="9645" max="9645" width="10" style="2" customWidth="1"/>
    <col min="9646" max="9646" width="10.42578125" style="2" customWidth="1"/>
    <col min="9647" max="9647" width="9.28515625" style="2" customWidth="1"/>
    <col min="9648" max="9648" width="12.42578125" style="2" customWidth="1"/>
    <col min="9649" max="9649" width="13.85546875" style="2" customWidth="1"/>
    <col min="9650" max="9650" width="13.42578125" style="2" customWidth="1"/>
    <col min="9651" max="9886" width="26" style="2"/>
    <col min="9887" max="9887" width="22.42578125" style="2" customWidth="1"/>
    <col min="9888" max="9888" width="26" style="2" customWidth="1"/>
    <col min="9889" max="9889" width="36.42578125" style="2" customWidth="1"/>
    <col min="9890" max="9890" width="7.42578125" style="2" customWidth="1"/>
    <col min="9891" max="9891" width="7.28515625" style="2" customWidth="1"/>
    <col min="9892" max="9892" width="10.42578125" style="2" customWidth="1"/>
    <col min="9893" max="9893" width="9.42578125" style="2" customWidth="1"/>
    <col min="9894" max="9894" width="10" style="2" customWidth="1"/>
    <col min="9895" max="9895" width="8.42578125" style="2" customWidth="1"/>
    <col min="9896" max="9896" width="9.7109375" style="2" customWidth="1"/>
    <col min="9897" max="9897" width="9.140625" style="2" customWidth="1"/>
    <col min="9898" max="9898" width="8.42578125" style="2" customWidth="1"/>
    <col min="9899" max="9899" width="10" style="2" customWidth="1"/>
    <col min="9900" max="9900" width="10.42578125" style="2" customWidth="1"/>
    <col min="9901" max="9901" width="10" style="2" customWidth="1"/>
    <col min="9902" max="9902" width="10.42578125" style="2" customWidth="1"/>
    <col min="9903" max="9903" width="9.28515625" style="2" customWidth="1"/>
    <col min="9904" max="9904" width="12.42578125" style="2" customWidth="1"/>
    <col min="9905" max="9905" width="13.85546875" style="2" customWidth="1"/>
    <col min="9906" max="9906" width="13.42578125" style="2" customWidth="1"/>
    <col min="9907" max="10142" width="26" style="2"/>
    <col min="10143" max="10143" width="22.42578125" style="2" customWidth="1"/>
    <col min="10144" max="10144" width="26" style="2" customWidth="1"/>
    <col min="10145" max="10145" width="36.42578125" style="2" customWidth="1"/>
    <col min="10146" max="10146" width="7.42578125" style="2" customWidth="1"/>
    <col min="10147" max="10147" width="7.28515625" style="2" customWidth="1"/>
    <col min="10148" max="10148" width="10.42578125" style="2" customWidth="1"/>
    <col min="10149" max="10149" width="9.42578125" style="2" customWidth="1"/>
    <col min="10150" max="10150" width="10" style="2" customWidth="1"/>
    <col min="10151" max="10151" width="8.42578125" style="2" customWidth="1"/>
    <col min="10152" max="10152" width="9.7109375" style="2" customWidth="1"/>
    <col min="10153" max="10153" width="9.140625" style="2" customWidth="1"/>
    <col min="10154" max="10154" width="8.42578125" style="2" customWidth="1"/>
    <col min="10155" max="10155" width="10" style="2" customWidth="1"/>
    <col min="10156" max="10156" width="10.42578125" style="2" customWidth="1"/>
    <col min="10157" max="10157" width="10" style="2" customWidth="1"/>
    <col min="10158" max="10158" width="10.42578125" style="2" customWidth="1"/>
    <col min="10159" max="10159" width="9.28515625" style="2" customWidth="1"/>
    <col min="10160" max="10160" width="12.42578125" style="2" customWidth="1"/>
    <col min="10161" max="10161" width="13.85546875" style="2" customWidth="1"/>
    <col min="10162" max="10162" width="13.42578125" style="2" customWidth="1"/>
    <col min="10163" max="10398" width="26" style="2"/>
    <col min="10399" max="10399" width="22.42578125" style="2" customWidth="1"/>
    <col min="10400" max="10400" width="26" style="2" customWidth="1"/>
    <col min="10401" max="10401" width="36.42578125" style="2" customWidth="1"/>
    <col min="10402" max="10402" width="7.42578125" style="2" customWidth="1"/>
    <col min="10403" max="10403" width="7.28515625" style="2" customWidth="1"/>
    <col min="10404" max="10404" width="10.42578125" style="2" customWidth="1"/>
    <col min="10405" max="10405" width="9.42578125" style="2" customWidth="1"/>
    <col min="10406" max="10406" width="10" style="2" customWidth="1"/>
    <col min="10407" max="10407" width="8.42578125" style="2" customWidth="1"/>
    <col min="10408" max="10408" width="9.7109375" style="2" customWidth="1"/>
    <col min="10409" max="10409" width="9.140625" style="2" customWidth="1"/>
    <col min="10410" max="10410" width="8.42578125" style="2" customWidth="1"/>
    <col min="10411" max="10411" width="10" style="2" customWidth="1"/>
    <col min="10412" max="10412" width="10.42578125" style="2" customWidth="1"/>
    <col min="10413" max="10413" width="10" style="2" customWidth="1"/>
    <col min="10414" max="10414" width="10.42578125" style="2" customWidth="1"/>
    <col min="10415" max="10415" width="9.28515625" style="2" customWidth="1"/>
    <col min="10416" max="10416" width="12.42578125" style="2" customWidth="1"/>
    <col min="10417" max="10417" width="13.85546875" style="2" customWidth="1"/>
    <col min="10418" max="10418" width="13.42578125" style="2" customWidth="1"/>
    <col min="10419" max="10654" width="26" style="2"/>
    <col min="10655" max="10655" width="22.42578125" style="2" customWidth="1"/>
    <col min="10656" max="10656" width="26" style="2" customWidth="1"/>
    <col min="10657" max="10657" width="36.42578125" style="2" customWidth="1"/>
    <col min="10658" max="10658" width="7.42578125" style="2" customWidth="1"/>
    <col min="10659" max="10659" width="7.28515625" style="2" customWidth="1"/>
    <col min="10660" max="10660" width="10.42578125" style="2" customWidth="1"/>
    <col min="10661" max="10661" width="9.42578125" style="2" customWidth="1"/>
    <col min="10662" max="10662" width="10" style="2" customWidth="1"/>
    <col min="10663" max="10663" width="8.42578125" style="2" customWidth="1"/>
    <col min="10664" max="10664" width="9.7109375" style="2" customWidth="1"/>
    <col min="10665" max="10665" width="9.140625" style="2" customWidth="1"/>
    <col min="10666" max="10666" width="8.42578125" style="2" customWidth="1"/>
    <col min="10667" max="10667" width="10" style="2" customWidth="1"/>
    <col min="10668" max="10668" width="10.42578125" style="2" customWidth="1"/>
    <col min="10669" max="10669" width="10" style="2" customWidth="1"/>
    <col min="10670" max="10670" width="10.42578125" style="2" customWidth="1"/>
    <col min="10671" max="10671" width="9.28515625" style="2" customWidth="1"/>
    <col min="10672" max="10672" width="12.42578125" style="2" customWidth="1"/>
    <col min="10673" max="10673" width="13.85546875" style="2" customWidth="1"/>
    <col min="10674" max="10674" width="13.42578125" style="2" customWidth="1"/>
    <col min="10675" max="10910" width="26" style="2"/>
    <col min="10911" max="10911" width="22.42578125" style="2" customWidth="1"/>
    <col min="10912" max="10912" width="26" style="2" customWidth="1"/>
    <col min="10913" max="10913" width="36.42578125" style="2" customWidth="1"/>
    <col min="10914" max="10914" width="7.42578125" style="2" customWidth="1"/>
    <col min="10915" max="10915" width="7.28515625" style="2" customWidth="1"/>
    <col min="10916" max="10916" width="10.42578125" style="2" customWidth="1"/>
    <col min="10917" max="10917" width="9.42578125" style="2" customWidth="1"/>
    <col min="10918" max="10918" width="10" style="2" customWidth="1"/>
    <col min="10919" max="10919" width="8.42578125" style="2" customWidth="1"/>
    <col min="10920" max="10920" width="9.7109375" style="2" customWidth="1"/>
    <col min="10921" max="10921" width="9.140625" style="2" customWidth="1"/>
    <col min="10922" max="10922" width="8.42578125" style="2" customWidth="1"/>
    <col min="10923" max="10923" width="10" style="2" customWidth="1"/>
    <col min="10924" max="10924" width="10.42578125" style="2" customWidth="1"/>
    <col min="10925" max="10925" width="10" style="2" customWidth="1"/>
    <col min="10926" max="10926" width="10.42578125" style="2" customWidth="1"/>
    <col min="10927" max="10927" width="9.28515625" style="2" customWidth="1"/>
    <col min="10928" max="10928" width="12.42578125" style="2" customWidth="1"/>
    <col min="10929" max="10929" width="13.85546875" style="2" customWidth="1"/>
    <col min="10930" max="10930" width="13.42578125" style="2" customWidth="1"/>
    <col min="10931" max="11166" width="26" style="2"/>
    <col min="11167" max="11167" width="22.42578125" style="2" customWidth="1"/>
    <col min="11168" max="11168" width="26" style="2" customWidth="1"/>
    <col min="11169" max="11169" width="36.42578125" style="2" customWidth="1"/>
    <col min="11170" max="11170" width="7.42578125" style="2" customWidth="1"/>
    <col min="11171" max="11171" width="7.28515625" style="2" customWidth="1"/>
    <col min="11172" max="11172" width="10.42578125" style="2" customWidth="1"/>
    <col min="11173" max="11173" width="9.42578125" style="2" customWidth="1"/>
    <col min="11174" max="11174" width="10" style="2" customWidth="1"/>
    <col min="11175" max="11175" width="8.42578125" style="2" customWidth="1"/>
    <col min="11176" max="11176" width="9.7109375" style="2" customWidth="1"/>
    <col min="11177" max="11177" width="9.140625" style="2" customWidth="1"/>
    <col min="11178" max="11178" width="8.42578125" style="2" customWidth="1"/>
    <col min="11179" max="11179" width="10" style="2" customWidth="1"/>
    <col min="11180" max="11180" width="10.42578125" style="2" customWidth="1"/>
    <col min="11181" max="11181" width="10" style="2" customWidth="1"/>
    <col min="11182" max="11182" width="10.42578125" style="2" customWidth="1"/>
    <col min="11183" max="11183" width="9.28515625" style="2" customWidth="1"/>
    <col min="11184" max="11184" width="12.42578125" style="2" customWidth="1"/>
    <col min="11185" max="11185" width="13.85546875" style="2" customWidth="1"/>
    <col min="11186" max="11186" width="13.42578125" style="2" customWidth="1"/>
    <col min="11187" max="11422" width="26" style="2"/>
    <col min="11423" max="11423" width="22.42578125" style="2" customWidth="1"/>
    <col min="11424" max="11424" width="26" style="2" customWidth="1"/>
    <col min="11425" max="11425" width="36.42578125" style="2" customWidth="1"/>
    <col min="11426" max="11426" width="7.42578125" style="2" customWidth="1"/>
    <col min="11427" max="11427" width="7.28515625" style="2" customWidth="1"/>
    <col min="11428" max="11428" width="10.42578125" style="2" customWidth="1"/>
    <col min="11429" max="11429" width="9.42578125" style="2" customWidth="1"/>
    <col min="11430" max="11430" width="10" style="2" customWidth="1"/>
    <col min="11431" max="11431" width="8.42578125" style="2" customWidth="1"/>
    <col min="11432" max="11432" width="9.7109375" style="2" customWidth="1"/>
    <col min="11433" max="11433" width="9.140625" style="2" customWidth="1"/>
    <col min="11434" max="11434" width="8.42578125" style="2" customWidth="1"/>
    <col min="11435" max="11435" width="10" style="2" customWidth="1"/>
    <col min="11436" max="11436" width="10.42578125" style="2" customWidth="1"/>
    <col min="11437" max="11437" width="10" style="2" customWidth="1"/>
    <col min="11438" max="11438" width="10.42578125" style="2" customWidth="1"/>
    <col min="11439" max="11439" width="9.28515625" style="2" customWidth="1"/>
    <col min="11440" max="11440" width="12.42578125" style="2" customWidth="1"/>
    <col min="11441" max="11441" width="13.85546875" style="2" customWidth="1"/>
    <col min="11442" max="11442" width="13.42578125" style="2" customWidth="1"/>
    <col min="11443" max="11678" width="26" style="2"/>
    <col min="11679" max="11679" width="22.42578125" style="2" customWidth="1"/>
    <col min="11680" max="11680" width="26" style="2" customWidth="1"/>
    <col min="11681" max="11681" width="36.42578125" style="2" customWidth="1"/>
    <col min="11682" max="11682" width="7.42578125" style="2" customWidth="1"/>
    <col min="11683" max="11683" width="7.28515625" style="2" customWidth="1"/>
    <col min="11684" max="11684" width="10.42578125" style="2" customWidth="1"/>
    <col min="11685" max="11685" width="9.42578125" style="2" customWidth="1"/>
    <col min="11686" max="11686" width="10" style="2" customWidth="1"/>
    <col min="11687" max="11687" width="8.42578125" style="2" customWidth="1"/>
    <col min="11688" max="11688" width="9.7109375" style="2" customWidth="1"/>
    <col min="11689" max="11689" width="9.140625" style="2" customWidth="1"/>
    <col min="11690" max="11690" width="8.42578125" style="2" customWidth="1"/>
    <col min="11691" max="11691" width="10" style="2" customWidth="1"/>
    <col min="11692" max="11692" width="10.42578125" style="2" customWidth="1"/>
    <col min="11693" max="11693" width="10" style="2" customWidth="1"/>
    <col min="11694" max="11694" width="10.42578125" style="2" customWidth="1"/>
    <col min="11695" max="11695" width="9.28515625" style="2" customWidth="1"/>
    <col min="11696" max="11696" width="12.42578125" style="2" customWidth="1"/>
    <col min="11697" max="11697" width="13.85546875" style="2" customWidth="1"/>
    <col min="11698" max="11698" width="13.42578125" style="2" customWidth="1"/>
    <col min="11699" max="11934" width="26" style="2"/>
    <col min="11935" max="11935" width="22.42578125" style="2" customWidth="1"/>
    <col min="11936" max="11936" width="26" style="2" customWidth="1"/>
    <col min="11937" max="11937" width="36.42578125" style="2" customWidth="1"/>
    <col min="11938" max="11938" width="7.42578125" style="2" customWidth="1"/>
    <col min="11939" max="11939" width="7.28515625" style="2" customWidth="1"/>
    <col min="11940" max="11940" width="10.42578125" style="2" customWidth="1"/>
    <col min="11941" max="11941" width="9.42578125" style="2" customWidth="1"/>
    <col min="11942" max="11942" width="10" style="2" customWidth="1"/>
    <col min="11943" max="11943" width="8.42578125" style="2" customWidth="1"/>
    <col min="11944" max="11944" width="9.7109375" style="2" customWidth="1"/>
    <col min="11945" max="11945" width="9.140625" style="2" customWidth="1"/>
    <col min="11946" max="11946" width="8.42578125" style="2" customWidth="1"/>
    <col min="11947" max="11947" width="10" style="2" customWidth="1"/>
    <col min="11948" max="11948" width="10.42578125" style="2" customWidth="1"/>
    <col min="11949" max="11949" width="10" style="2" customWidth="1"/>
    <col min="11950" max="11950" width="10.42578125" style="2" customWidth="1"/>
    <col min="11951" max="11951" width="9.28515625" style="2" customWidth="1"/>
    <col min="11952" max="11952" width="12.42578125" style="2" customWidth="1"/>
    <col min="11953" max="11953" width="13.85546875" style="2" customWidth="1"/>
    <col min="11954" max="11954" width="13.42578125" style="2" customWidth="1"/>
    <col min="11955" max="12190" width="26" style="2"/>
    <col min="12191" max="12191" width="22.42578125" style="2" customWidth="1"/>
    <col min="12192" max="12192" width="26" style="2" customWidth="1"/>
    <col min="12193" max="12193" width="36.42578125" style="2" customWidth="1"/>
    <col min="12194" max="12194" width="7.42578125" style="2" customWidth="1"/>
    <col min="12195" max="12195" width="7.28515625" style="2" customWidth="1"/>
    <col min="12196" max="12196" width="10.42578125" style="2" customWidth="1"/>
    <col min="12197" max="12197" width="9.42578125" style="2" customWidth="1"/>
    <col min="12198" max="12198" width="10" style="2" customWidth="1"/>
    <col min="12199" max="12199" width="8.42578125" style="2" customWidth="1"/>
    <col min="12200" max="12200" width="9.7109375" style="2" customWidth="1"/>
    <col min="12201" max="12201" width="9.140625" style="2" customWidth="1"/>
    <col min="12202" max="12202" width="8.42578125" style="2" customWidth="1"/>
    <col min="12203" max="12203" width="10" style="2" customWidth="1"/>
    <col min="12204" max="12204" width="10.42578125" style="2" customWidth="1"/>
    <col min="12205" max="12205" width="10" style="2" customWidth="1"/>
    <col min="12206" max="12206" width="10.42578125" style="2" customWidth="1"/>
    <col min="12207" max="12207" width="9.28515625" style="2" customWidth="1"/>
    <col min="12208" max="12208" width="12.42578125" style="2" customWidth="1"/>
    <col min="12209" max="12209" width="13.85546875" style="2" customWidth="1"/>
    <col min="12210" max="12210" width="13.42578125" style="2" customWidth="1"/>
    <col min="12211" max="12446" width="26" style="2"/>
    <col min="12447" max="12447" width="22.42578125" style="2" customWidth="1"/>
    <col min="12448" max="12448" width="26" style="2" customWidth="1"/>
    <col min="12449" max="12449" width="36.42578125" style="2" customWidth="1"/>
    <col min="12450" max="12450" width="7.42578125" style="2" customWidth="1"/>
    <col min="12451" max="12451" width="7.28515625" style="2" customWidth="1"/>
    <col min="12452" max="12452" width="10.42578125" style="2" customWidth="1"/>
    <col min="12453" max="12453" width="9.42578125" style="2" customWidth="1"/>
    <col min="12454" max="12454" width="10" style="2" customWidth="1"/>
    <col min="12455" max="12455" width="8.42578125" style="2" customWidth="1"/>
    <col min="12456" max="12456" width="9.7109375" style="2" customWidth="1"/>
    <col min="12457" max="12457" width="9.140625" style="2" customWidth="1"/>
    <col min="12458" max="12458" width="8.42578125" style="2" customWidth="1"/>
    <col min="12459" max="12459" width="10" style="2" customWidth="1"/>
    <col min="12460" max="12460" width="10.42578125" style="2" customWidth="1"/>
    <col min="12461" max="12461" width="10" style="2" customWidth="1"/>
    <col min="12462" max="12462" width="10.42578125" style="2" customWidth="1"/>
    <col min="12463" max="12463" width="9.28515625" style="2" customWidth="1"/>
    <col min="12464" max="12464" width="12.42578125" style="2" customWidth="1"/>
    <col min="12465" max="12465" width="13.85546875" style="2" customWidth="1"/>
    <col min="12466" max="12466" width="13.42578125" style="2" customWidth="1"/>
    <col min="12467" max="12702" width="26" style="2"/>
    <col min="12703" max="12703" width="22.42578125" style="2" customWidth="1"/>
    <col min="12704" max="12704" width="26" style="2" customWidth="1"/>
    <col min="12705" max="12705" width="36.42578125" style="2" customWidth="1"/>
    <col min="12706" max="12706" width="7.42578125" style="2" customWidth="1"/>
    <col min="12707" max="12707" width="7.28515625" style="2" customWidth="1"/>
    <col min="12708" max="12708" width="10.42578125" style="2" customWidth="1"/>
    <col min="12709" max="12709" width="9.42578125" style="2" customWidth="1"/>
    <col min="12710" max="12710" width="10" style="2" customWidth="1"/>
    <col min="12711" max="12711" width="8.42578125" style="2" customWidth="1"/>
    <col min="12712" max="12712" width="9.7109375" style="2" customWidth="1"/>
    <col min="12713" max="12713" width="9.140625" style="2" customWidth="1"/>
    <col min="12714" max="12714" width="8.42578125" style="2" customWidth="1"/>
    <col min="12715" max="12715" width="10" style="2" customWidth="1"/>
    <col min="12716" max="12716" width="10.42578125" style="2" customWidth="1"/>
    <col min="12717" max="12717" width="10" style="2" customWidth="1"/>
    <col min="12718" max="12718" width="10.42578125" style="2" customWidth="1"/>
    <col min="12719" max="12719" width="9.28515625" style="2" customWidth="1"/>
    <col min="12720" max="12720" width="12.42578125" style="2" customWidth="1"/>
    <col min="12721" max="12721" width="13.85546875" style="2" customWidth="1"/>
    <col min="12722" max="12722" width="13.42578125" style="2" customWidth="1"/>
    <col min="12723" max="12958" width="26" style="2"/>
    <col min="12959" max="12959" width="22.42578125" style="2" customWidth="1"/>
    <col min="12960" max="12960" width="26" style="2" customWidth="1"/>
    <col min="12961" max="12961" width="36.42578125" style="2" customWidth="1"/>
    <col min="12962" max="12962" width="7.42578125" style="2" customWidth="1"/>
    <col min="12963" max="12963" width="7.28515625" style="2" customWidth="1"/>
    <col min="12964" max="12964" width="10.42578125" style="2" customWidth="1"/>
    <col min="12965" max="12965" width="9.42578125" style="2" customWidth="1"/>
    <col min="12966" max="12966" width="10" style="2" customWidth="1"/>
    <col min="12967" max="12967" width="8.42578125" style="2" customWidth="1"/>
    <col min="12968" max="12968" width="9.7109375" style="2" customWidth="1"/>
    <col min="12969" max="12969" width="9.140625" style="2" customWidth="1"/>
    <col min="12970" max="12970" width="8.42578125" style="2" customWidth="1"/>
    <col min="12971" max="12971" width="10" style="2" customWidth="1"/>
    <col min="12972" max="12972" width="10.42578125" style="2" customWidth="1"/>
    <col min="12973" max="12973" width="10" style="2" customWidth="1"/>
    <col min="12974" max="12974" width="10.42578125" style="2" customWidth="1"/>
    <col min="12975" max="12975" width="9.28515625" style="2" customWidth="1"/>
    <col min="12976" max="12976" width="12.42578125" style="2" customWidth="1"/>
    <col min="12977" max="12977" width="13.85546875" style="2" customWidth="1"/>
    <col min="12978" max="12978" width="13.42578125" style="2" customWidth="1"/>
    <col min="12979" max="13214" width="26" style="2"/>
    <col min="13215" max="13215" width="22.42578125" style="2" customWidth="1"/>
    <col min="13216" max="13216" width="26" style="2" customWidth="1"/>
    <col min="13217" max="13217" width="36.42578125" style="2" customWidth="1"/>
    <col min="13218" max="13218" width="7.42578125" style="2" customWidth="1"/>
    <col min="13219" max="13219" width="7.28515625" style="2" customWidth="1"/>
    <col min="13220" max="13220" width="10.42578125" style="2" customWidth="1"/>
    <col min="13221" max="13221" width="9.42578125" style="2" customWidth="1"/>
    <col min="13222" max="13222" width="10" style="2" customWidth="1"/>
    <col min="13223" max="13223" width="8.42578125" style="2" customWidth="1"/>
    <col min="13224" max="13224" width="9.7109375" style="2" customWidth="1"/>
    <col min="13225" max="13225" width="9.140625" style="2" customWidth="1"/>
    <col min="13226" max="13226" width="8.42578125" style="2" customWidth="1"/>
    <col min="13227" max="13227" width="10" style="2" customWidth="1"/>
    <col min="13228" max="13228" width="10.42578125" style="2" customWidth="1"/>
    <col min="13229" max="13229" width="10" style="2" customWidth="1"/>
    <col min="13230" max="13230" width="10.42578125" style="2" customWidth="1"/>
    <col min="13231" max="13231" width="9.28515625" style="2" customWidth="1"/>
    <col min="13232" max="13232" width="12.42578125" style="2" customWidth="1"/>
    <col min="13233" max="13233" width="13.85546875" style="2" customWidth="1"/>
    <col min="13234" max="13234" width="13.42578125" style="2" customWidth="1"/>
    <col min="13235" max="13470" width="26" style="2"/>
    <col min="13471" max="13471" width="22.42578125" style="2" customWidth="1"/>
    <col min="13472" max="13472" width="26" style="2" customWidth="1"/>
    <col min="13473" max="13473" width="36.42578125" style="2" customWidth="1"/>
    <col min="13474" max="13474" width="7.42578125" style="2" customWidth="1"/>
    <col min="13475" max="13475" width="7.28515625" style="2" customWidth="1"/>
    <col min="13476" max="13476" width="10.42578125" style="2" customWidth="1"/>
    <col min="13477" max="13477" width="9.42578125" style="2" customWidth="1"/>
    <col min="13478" max="13478" width="10" style="2" customWidth="1"/>
    <col min="13479" max="13479" width="8.42578125" style="2" customWidth="1"/>
    <col min="13480" max="13480" width="9.7109375" style="2" customWidth="1"/>
    <col min="13481" max="13481" width="9.140625" style="2" customWidth="1"/>
    <col min="13482" max="13482" width="8.42578125" style="2" customWidth="1"/>
    <col min="13483" max="13483" width="10" style="2" customWidth="1"/>
    <col min="13484" max="13484" width="10.42578125" style="2" customWidth="1"/>
    <col min="13485" max="13485" width="10" style="2" customWidth="1"/>
    <col min="13486" max="13486" width="10.42578125" style="2" customWidth="1"/>
    <col min="13487" max="13487" width="9.28515625" style="2" customWidth="1"/>
    <col min="13488" max="13488" width="12.42578125" style="2" customWidth="1"/>
    <col min="13489" max="13489" width="13.85546875" style="2" customWidth="1"/>
    <col min="13490" max="13490" width="13.42578125" style="2" customWidth="1"/>
    <col min="13491" max="13726" width="26" style="2"/>
    <col min="13727" max="13727" width="22.42578125" style="2" customWidth="1"/>
    <col min="13728" max="13728" width="26" style="2" customWidth="1"/>
    <col min="13729" max="13729" width="36.42578125" style="2" customWidth="1"/>
    <col min="13730" max="13730" width="7.42578125" style="2" customWidth="1"/>
    <col min="13731" max="13731" width="7.28515625" style="2" customWidth="1"/>
    <col min="13732" max="13732" width="10.42578125" style="2" customWidth="1"/>
    <col min="13733" max="13733" width="9.42578125" style="2" customWidth="1"/>
    <col min="13734" max="13734" width="10" style="2" customWidth="1"/>
    <col min="13735" max="13735" width="8.42578125" style="2" customWidth="1"/>
    <col min="13736" max="13736" width="9.7109375" style="2" customWidth="1"/>
    <col min="13737" max="13737" width="9.140625" style="2" customWidth="1"/>
    <col min="13738" max="13738" width="8.42578125" style="2" customWidth="1"/>
    <col min="13739" max="13739" width="10" style="2" customWidth="1"/>
    <col min="13740" max="13740" width="10.42578125" style="2" customWidth="1"/>
    <col min="13741" max="13741" width="10" style="2" customWidth="1"/>
    <col min="13742" max="13742" width="10.42578125" style="2" customWidth="1"/>
    <col min="13743" max="13743" width="9.28515625" style="2" customWidth="1"/>
    <col min="13744" max="13744" width="12.42578125" style="2" customWidth="1"/>
    <col min="13745" max="13745" width="13.85546875" style="2" customWidth="1"/>
    <col min="13746" max="13746" width="13.42578125" style="2" customWidth="1"/>
    <col min="13747" max="13982" width="26" style="2"/>
    <col min="13983" max="13983" width="22.42578125" style="2" customWidth="1"/>
    <col min="13984" max="13984" width="26" style="2" customWidth="1"/>
    <col min="13985" max="13985" width="36.42578125" style="2" customWidth="1"/>
    <col min="13986" max="13986" width="7.42578125" style="2" customWidth="1"/>
    <col min="13987" max="13987" width="7.28515625" style="2" customWidth="1"/>
    <col min="13988" max="13988" width="10.42578125" style="2" customWidth="1"/>
    <col min="13989" max="13989" width="9.42578125" style="2" customWidth="1"/>
    <col min="13990" max="13990" width="10" style="2" customWidth="1"/>
    <col min="13991" max="13991" width="8.42578125" style="2" customWidth="1"/>
    <col min="13992" max="13992" width="9.7109375" style="2" customWidth="1"/>
    <col min="13993" max="13993" width="9.140625" style="2" customWidth="1"/>
    <col min="13994" max="13994" width="8.42578125" style="2" customWidth="1"/>
    <col min="13995" max="13995" width="10" style="2" customWidth="1"/>
    <col min="13996" max="13996" width="10.42578125" style="2" customWidth="1"/>
    <col min="13997" max="13997" width="10" style="2" customWidth="1"/>
    <col min="13998" max="13998" width="10.42578125" style="2" customWidth="1"/>
    <col min="13999" max="13999" width="9.28515625" style="2" customWidth="1"/>
    <col min="14000" max="14000" width="12.42578125" style="2" customWidth="1"/>
    <col min="14001" max="14001" width="13.85546875" style="2" customWidth="1"/>
    <col min="14002" max="14002" width="13.42578125" style="2" customWidth="1"/>
    <col min="14003" max="14238" width="26" style="2"/>
    <col min="14239" max="14239" width="22.42578125" style="2" customWidth="1"/>
    <col min="14240" max="14240" width="26" style="2" customWidth="1"/>
    <col min="14241" max="14241" width="36.42578125" style="2" customWidth="1"/>
    <col min="14242" max="14242" width="7.42578125" style="2" customWidth="1"/>
    <col min="14243" max="14243" width="7.28515625" style="2" customWidth="1"/>
    <col min="14244" max="14244" width="10.42578125" style="2" customWidth="1"/>
    <col min="14245" max="14245" width="9.42578125" style="2" customWidth="1"/>
    <col min="14246" max="14246" width="10" style="2" customWidth="1"/>
    <col min="14247" max="14247" width="8.42578125" style="2" customWidth="1"/>
    <col min="14248" max="14248" width="9.7109375" style="2" customWidth="1"/>
    <col min="14249" max="14249" width="9.140625" style="2" customWidth="1"/>
    <col min="14250" max="14250" width="8.42578125" style="2" customWidth="1"/>
    <col min="14251" max="14251" width="10" style="2" customWidth="1"/>
    <col min="14252" max="14252" width="10.42578125" style="2" customWidth="1"/>
    <col min="14253" max="14253" width="10" style="2" customWidth="1"/>
    <col min="14254" max="14254" width="10.42578125" style="2" customWidth="1"/>
    <col min="14255" max="14255" width="9.28515625" style="2" customWidth="1"/>
    <col min="14256" max="14256" width="12.42578125" style="2" customWidth="1"/>
    <col min="14257" max="14257" width="13.85546875" style="2" customWidth="1"/>
    <col min="14258" max="14258" width="13.42578125" style="2" customWidth="1"/>
    <col min="14259" max="14494" width="26" style="2"/>
    <col min="14495" max="14495" width="22.42578125" style="2" customWidth="1"/>
    <col min="14496" max="14496" width="26" style="2" customWidth="1"/>
    <col min="14497" max="14497" width="36.42578125" style="2" customWidth="1"/>
    <col min="14498" max="14498" width="7.42578125" style="2" customWidth="1"/>
    <col min="14499" max="14499" width="7.28515625" style="2" customWidth="1"/>
    <col min="14500" max="14500" width="10.42578125" style="2" customWidth="1"/>
    <col min="14501" max="14501" width="9.42578125" style="2" customWidth="1"/>
    <col min="14502" max="14502" width="10" style="2" customWidth="1"/>
    <col min="14503" max="14503" width="8.42578125" style="2" customWidth="1"/>
    <col min="14504" max="14504" width="9.7109375" style="2" customWidth="1"/>
    <col min="14505" max="14505" width="9.140625" style="2" customWidth="1"/>
    <col min="14506" max="14506" width="8.42578125" style="2" customWidth="1"/>
    <col min="14507" max="14507" width="10" style="2" customWidth="1"/>
    <col min="14508" max="14508" width="10.42578125" style="2" customWidth="1"/>
    <col min="14509" max="14509" width="10" style="2" customWidth="1"/>
    <col min="14510" max="14510" width="10.42578125" style="2" customWidth="1"/>
    <col min="14511" max="14511" width="9.28515625" style="2" customWidth="1"/>
    <col min="14512" max="14512" width="12.42578125" style="2" customWidth="1"/>
    <col min="14513" max="14513" width="13.85546875" style="2" customWidth="1"/>
    <col min="14514" max="14514" width="13.42578125" style="2" customWidth="1"/>
    <col min="14515" max="14750" width="26" style="2"/>
    <col min="14751" max="14751" width="22.42578125" style="2" customWidth="1"/>
    <col min="14752" max="14752" width="26" style="2" customWidth="1"/>
    <col min="14753" max="14753" width="36.42578125" style="2" customWidth="1"/>
    <col min="14754" max="14754" width="7.42578125" style="2" customWidth="1"/>
    <col min="14755" max="14755" width="7.28515625" style="2" customWidth="1"/>
    <col min="14756" max="14756" width="10.42578125" style="2" customWidth="1"/>
    <col min="14757" max="14757" width="9.42578125" style="2" customWidth="1"/>
    <col min="14758" max="14758" width="10" style="2" customWidth="1"/>
    <col min="14759" max="14759" width="8.42578125" style="2" customWidth="1"/>
    <col min="14760" max="14760" width="9.7109375" style="2" customWidth="1"/>
    <col min="14761" max="14761" width="9.140625" style="2" customWidth="1"/>
    <col min="14762" max="14762" width="8.42578125" style="2" customWidth="1"/>
    <col min="14763" max="14763" width="10" style="2" customWidth="1"/>
    <col min="14764" max="14764" width="10.42578125" style="2" customWidth="1"/>
    <col min="14765" max="14765" width="10" style="2" customWidth="1"/>
    <col min="14766" max="14766" width="10.42578125" style="2" customWidth="1"/>
    <col min="14767" max="14767" width="9.28515625" style="2" customWidth="1"/>
    <col min="14768" max="14768" width="12.42578125" style="2" customWidth="1"/>
    <col min="14769" max="14769" width="13.85546875" style="2" customWidth="1"/>
    <col min="14770" max="14770" width="13.42578125" style="2" customWidth="1"/>
    <col min="14771" max="15006" width="26" style="2"/>
    <col min="15007" max="15007" width="22.42578125" style="2" customWidth="1"/>
    <col min="15008" max="15008" width="26" style="2" customWidth="1"/>
    <col min="15009" max="15009" width="36.42578125" style="2" customWidth="1"/>
    <col min="15010" max="15010" width="7.42578125" style="2" customWidth="1"/>
    <col min="15011" max="15011" width="7.28515625" style="2" customWidth="1"/>
    <col min="15012" max="15012" width="10.42578125" style="2" customWidth="1"/>
    <col min="15013" max="15013" width="9.42578125" style="2" customWidth="1"/>
    <col min="15014" max="15014" width="10" style="2" customWidth="1"/>
    <col min="15015" max="15015" width="8.42578125" style="2" customWidth="1"/>
    <col min="15016" max="15016" width="9.7109375" style="2" customWidth="1"/>
    <col min="15017" max="15017" width="9.140625" style="2" customWidth="1"/>
    <col min="15018" max="15018" width="8.42578125" style="2" customWidth="1"/>
    <col min="15019" max="15019" width="10" style="2" customWidth="1"/>
    <col min="15020" max="15020" width="10.42578125" style="2" customWidth="1"/>
    <col min="15021" max="15021" width="10" style="2" customWidth="1"/>
    <col min="15022" max="15022" width="10.42578125" style="2" customWidth="1"/>
    <col min="15023" max="15023" width="9.28515625" style="2" customWidth="1"/>
    <col min="15024" max="15024" width="12.42578125" style="2" customWidth="1"/>
    <col min="15025" max="15025" width="13.85546875" style="2" customWidth="1"/>
    <col min="15026" max="15026" width="13.42578125" style="2" customWidth="1"/>
    <col min="15027" max="15262" width="26" style="2"/>
    <col min="15263" max="15263" width="22.42578125" style="2" customWidth="1"/>
    <col min="15264" max="15264" width="26" style="2" customWidth="1"/>
    <col min="15265" max="15265" width="36.42578125" style="2" customWidth="1"/>
    <col min="15266" max="15266" width="7.42578125" style="2" customWidth="1"/>
    <col min="15267" max="15267" width="7.28515625" style="2" customWidth="1"/>
    <col min="15268" max="15268" width="10.42578125" style="2" customWidth="1"/>
    <col min="15269" max="15269" width="9.42578125" style="2" customWidth="1"/>
    <col min="15270" max="15270" width="10" style="2" customWidth="1"/>
    <col min="15271" max="15271" width="8.42578125" style="2" customWidth="1"/>
    <col min="15272" max="15272" width="9.7109375" style="2" customWidth="1"/>
    <col min="15273" max="15273" width="9.140625" style="2" customWidth="1"/>
    <col min="15274" max="15274" width="8.42578125" style="2" customWidth="1"/>
    <col min="15275" max="15275" width="10" style="2" customWidth="1"/>
    <col min="15276" max="15276" width="10.42578125" style="2" customWidth="1"/>
    <col min="15277" max="15277" width="10" style="2" customWidth="1"/>
    <col min="15278" max="15278" width="10.42578125" style="2" customWidth="1"/>
    <col min="15279" max="15279" width="9.28515625" style="2" customWidth="1"/>
    <col min="15280" max="15280" width="12.42578125" style="2" customWidth="1"/>
    <col min="15281" max="15281" width="13.85546875" style="2" customWidth="1"/>
    <col min="15282" max="15282" width="13.42578125" style="2" customWidth="1"/>
    <col min="15283" max="15518" width="26" style="2"/>
    <col min="15519" max="15519" width="22.42578125" style="2" customWidth="1"/>
    <col min="15520" max="15520" width="26" style="2" customWidth="1"/>
    <col min="15521" max="15521" width="36.42578125" style="2" customWidth="1"/>
    <col min="15522" max="15522" width="7.42578125" style="2" customWidth="1"/>
    <col min="15523" max="15523" width="7.28515625" style="2" customWidth="1"/>
    <col min="15524" max="15524" width="10.42578125" style="2" customWidth="1"/>
    <col min="15525" max="15525" width="9.42578125" style="2" customWidth="1"/>
    <col min="15526" max="15526" width="10" style="2" customWidth="1"/>
    <col min="15527" max="15527" width="8.42578125" style="2" customWidth="1"/>
    <col min="15528" max="15528" width="9.7109375" style="2" customWidth="1"/>
    <col min="15529" max="15529" width="9.140625" style="2" customWidth="1"/>
    <col min="15530" max="15530" width="8.42578125" style="2" customWidth="1"/>
    <col min="15531" max="15531" width="10" style="2" customWidth="1"/>
    <col min="15532" max="15532" width="10.42578125" style="2" customWidth="1"/>
    <col min="15533" max="15533" width="10" style="2" customWidth="1"/>
    <col min="15534" max="15534" width="10.42578125" style="2" customWidth="1"/>
    <col min="15535" max="15535" width="9.28515625" style="2" customWidth="1"/>
    <col min="15536" max="15536" width="12.42578125" style="2" customWidth="1"/>
    <col min="15537" max="15537" width="13.85546875" style="2" customWidth="1"/>
    <col min="15538" max="15538" width="13.42578125" style="2" customWidth="1"/>
    <col min="15539" max="15774" width="26" style="2"/>
    <col min="15775" max="15775" width="22.42578125" style="2" customWidth="1"/>
    <col min="15776" max="15776" width="26" style="2" customWidth="1"/>
    <col min="15777" max="15777" width="36.42578125" style="2" customWidth="1"/>
    <col min="15778" max="15778" width="7.42578125" style="2" customWidth="1"/>
    <col min="15779" max="15779" width="7.28515625" style="2" customWidth="1"/>
    <col min="15780" max="15780" width="10.42578125" style="2" customWidth="1"/>
    <col min="15781" max="15781" width="9.42578125" style="2" customWidth="1"/>
    <col min="15782" max="15782" width="10" style="2" customWidth="1"/>
    <col min="15783" max="15783" width="8.42578125" style="2" customWidth="1"/>
    <col min="15784" max="15784" width="9.7109375" style="2" customWidth="1"/>
    <col min="15785" max="15785" width="9.140625" style="2" customWidth="1"/>
    <col min="15786" max="15786" width="8.42578125" style="2" customWidth="1"/>
    <col min="15787" max="15787" width="10" style="2" customWidth="1"/>
    <col min="15788" max="15788" width="10.42578125" style="2" customWidth="1"/>
    <col min="15789" max="15789" width="10" style="2" customWidth="1"/>
    <col min="15790" max="15790" width="10.42578125" style="2" customWidth="1"/>
    <col min="15791" max="15791" width="9.28515625" style="2" customWidth="1"/>
    <col min="15792" max="15792" width="12.42578125" style="2" customWidth="1"/>
    <col min="15793" max="15793" width="13.85546875" style="2" customWidth="1"/>
    <col min="15794" max="15794" width="13.42578125" style="2" customWidth="1"/>
    <col min="15795" max="16030" width="26" style="2"/>
    <col min="16031" max="16031" width="22.42578125" style="2" customWidth="1"/>
    <col min="16032" max="16032" width="26" style="2" customWidth="1"/>
    <col min="16033" max="16033" width="36.42578125" style="2" customWidth="1"/>
    <col min="16034" max="16034" width="7.42578125" style="2" customWidth="1"/>
    <col min="16035" max="16035" width="7.28515625" style="2" customWidth="1"/>
    <col min="16036" max="16036" width="10.42578125" style="2" customWidth="1"/>
    <col min="16037" max="16037" width="9.42578125" style="2" customWidth="1"/>
    <col min="16038" max="16038" width="10" style="2" customWidth="1"/>
    <col min="16039" max="16039" width="8.42578125" style="2" customWidth="1"/>
    <col min="16040" max="16040" width="9.7109375" style="2" customWidth="1"/>
    <col min="16041" max="16041" width="9.140625" style="2" customWidth="1"/>
    <col min="16042" max="16042" width="8.42578125" style="2" customWidth="1"/>
    <col min="16043" max="16043" width="10" style="2" customWidth="1"/>
    <col min="16044" max="16044" width="10.42578125" style="2" customWidth="1"/>
    <col min="16045" max="16045" width="10" style="2" customWidth="1"/>
    <col min="16046" max="16046" width="10.42578125" style="2" customWidth="1"/>
    <col min="16047" max="16047" width="9.28515625" style="2" customWidth="1"/>
    <col min="16048" max="16048" width="12.42578125" style="2" customWidth="1"/>
    <col min="16049" max="16049" width="13.85546875" style="2" customWidth="1"/>
    <col min="16050" max="16050" width="13.42578125" style="2" customWidth="1"/>
    <col min="16051" max="16384" width="26" style="2"/>
  </cols>
  <sheetData>
    <row r="1" spans="1:60" s="7" customFormat="1" ht="13.5" customHeight="1" x14ac:dyDescent="0.3">
      <c r="A1" s="6" t="s">
        <v>7</v>
      </c>
      <c r="B1" s="5"/>
      <c r="C1" s="5">
        <v>2001</v>
      </c>
      <c r="D1" s="5">
        <v>2002</v>
      </c>
      <c r="E1" s="5">
        <v>2003</v>
      </c>
      <c r="F1" s="5">
        <v>2004</v>
      </c>
      <c r="G1" s="5">
        <v>2005</v>
      </c>
      <c r="H1" s="5">
        <v>2006</v>
      </c>
      <c r="I1" s="5">
        <v>2007</v>
      </c>
      <c r="J1" s="5">
        <v>2008</v>
      </c>
      <c r="K1" s="5">
        <v>2009</v>
      </c>
      <c r="L1" s="5">
        <v>2010</v>
      </c>
      <c r="M1" s="5">
        <v>2011</v>
      </c>
      <c r="N1" s="5">
        <v>2012</v>
      </c>
      <c r="O1" s="21" t="e">
        <f>+#REF!</f>
        <v>#REF!</v>
      </c>
      <c r="P1" s="21" t="e">
        <f>+#REF!</f>
        <v>#REF!</v>
      </c>
      <c r="Q1" s="21" t="e">
        <f>+#REF!</f>
        <v>#REF!</v>
      </c>
      <c r="R1" s="21" t="e">
        <f>+#REF!</f>
        <v>#REF!</v>
      </c>
      <c r="S1" s="21" t="e">
        <f>+#REF!</f>
        <v>#REF!</v>
      </c>
      <c r="T1" s="21" t="e">
        <f>+#REF!</f>
        <v>#REF!</v>
      </c>
      <c r="U1" s="21" t="e">
        <f>+#REF!</f>
        <v>#REF!</v>
      </c>
      <c r="V1" s="21" t="e">
        <f>+#REF!</f>
        <v>#REF!</v>
      </c>
      <c r="W1" s="21" t="e">
        <f>+#REF!</f>
        <v>#REF!</v>
      </c>
      <c r="X1" s="21" t="e">
        <f>+#REF!</f>
        <v>#REF!</v>
      </c>
      <c r="Y1" s="21" t="e">
        <f>+#REF!</f>
        <v>#REF!</v>
      </c>
      <c r="Z1" s="21" t="e">
        <f>+#REF!</f>
        <v>#REF!</v>
      </c>
      <c r="AA1" s="21" t="e">
        <f>+#REF!</f>
        <v>#REF!</v>
      </c>
      <c r="AB1" s="21" t="e">
        <f>+#REF!</f>
        <v>#REF!</v>
      </c>
      <c r="AC1" s="21" t="e">
        <f>+#REF!</f>
        <v>#REF!</v>
      </c>
      <c r="AD1" s="21" t="e">
        <f>+#REF!</f>
        <v>#REF!</v>
      </c>
      <c r="AE1" s="21" t="e">
        <f>+#REF!</f>
        <v>#REF!</v>
      </c>
      <c r="AF1" s="21" t="e">
        <f>+#REF!</f>
        <v>#REF!</v>
      </c>
      <c r="AG1" s="21" t="e">
        <f>+#REF!</f>
        <v>#REF!</v>
      </c>
      <c r="AH1" s="21" t="e">
        <f>+#REF!</f>
        <v>#REF!</v>
      </c>
      <c r="AI1" s="21" t="e">
        <f>+#REF!</f>
        <v>#REF!</v>
      </c>
      <c r="AJ1" s="21" t="e">
        <f>+#REF!</f>
        <v>#REF!</v>
      </c>
      <c r="AK1" s="21" t="e">
        <f>+#REF!</f>
        <v>#REF!</v>
      </c>
      <c r="AL1" s="21" t="e">
        <f>+#REF!</f>
        <v>#REF!</v>
      </c>
      <c r="AM1" s="21" t="e">
        <f>+#REF!</f>
        <v>#REF!</v>
      </c>
      <c r="AN1" s="21" t="e">
        <f>+#REF!</f>
        <v>#REF!</v>
      </c>
      <c r="AO1" s="21" t="e">
        <f>+#REF!</f>
        <v>#REF!</v>
      </c>
      <c r="AP1" s="21" t="e">
        <f>+#REF!</f>
        <v>#REF!</v>
      </c>
      <c r="AQ1" s="21" t="e">
        <f>+#REF!</f>
        <v>#REF!</v>
      </c>
      <c r="AR1" s="21" t="e">
        <f>+#REF!</f>
        <v>#REF!</v>
      </c>
      <c r="AS1" s="21" t="e">
        <f>+#REF!</f>
        <v>#REF!</v>
      </c>
      <c r="AT1" s="21" t="e">
        <f>+#REF!</f>
        <v>#REF!</v>
      </c>
      <c r="AU1" s="21" t="e">
        <f>+#REF!</f>
        <v>#REF!</v>
      </c>
      <c r="AV1" s="21" t="e">
        <f>+#REF!</f>
        <v>#REF!</v>
      </c>
      <c r="AW1" s="21" t="e">
        <f>+#REF!</f>
        <v>#REF!</v>
      </c>
      <c r="AX1" s="21" t="e">
        <f>+#REF!</f>
        <v>#REF!</v>
      </c>
      <c r="AY1" s="21">
        <v>42370</v>
      </c>
      <c r="AZ1" s="21">
        <v>42401</v>
      </c>
      <c r="BA1" s="21">
        <v>42430</v>
      </c>
      <c r="BB1" s="21">
        <v>42461</v>
      </c>
      <c r="BC1" s="21">
        <v>42491</v>
      </c>
      <c r="BD1" s="21">
        <v>42522</v>
      </c>
      <c r="BE1" s="21">
        <v>42552</v>
      </c>
      <c r="BF1" s="21">
        <v>42583</v>
      </c>
      <c r="BG1" s="21">
        <v>42614</v>
      </c>
      <c r="BH1" s="21">
        <v>42644</v>
      </c>
    </row>
    <row r="2" spans="1:60" ht="13.5" customHeight="1" x14ac:dyDescent="0.3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BE2" s="21"/>
      <c r="BF2" s="21"/>
      <c r="BG2" s="21"/>
      <c r="BH2" s="21"/>
    </row>
    <row r="3" spans="1:60" ht="13.5" customHeight="1" x14ac:dyDescent="0.25">
      <c r="AX3" s="17" t="s">
        <v>39</v>
      </c>
      <c r="BE3" s="21"/>
      <c r="BF3" s="21"/>
      <c r="BG3" s="21"/>
      <c r="BH3" s="21"/>
    </row>
    <row r="4" spans="1:60" ht="13.5" customHeight="1" x14ac:dyDescent="0.25">
      <c r="A4" s="12" t="s">
        <v>23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4"/>
      <c r="BE4" s="21"/>
      <c r="BF4" s="21"/>
      <c r="BG4" s="21"/>
      <c r="BH4" s="21"/>
    </row>
    <row r="5" spans="1:60" ht="13.5" customHeight="1" x14ac:dyDescent="0.2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0"/>
      <c r="BE5" s="21"/>
      <c r="BF5" s="21"/>
      <c r="BG5" s="21"/>
      <c r="BH5" s="21"/>
    </row>
    <row r="6" spans="1:60" ht="13.5" customHeight="1" x14ac:dyDescent="0.3">
      <c r="A6" s="9"/>
      <c r="B6" s="9" t="s">
        <v>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87">
        <v>0.2388756052186416</v>
      </c>
      <c r="BE6" s="21"/>
      <c r="BF6" s="21"/>
      <c r="BG6" s="21"/>
      <c r="BH6" s="21"/>
    </row>
    <row r="7" spans="1:60" ht="13.5" customHeight="1" x14ac:dyDescent="0.3">
      <c r="A7" s="9"/>
      <c r="B7" s="9" t="s">
        <v>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13">
        <v>3.7454573216950574E-2</v>
      </c>
      <c r="BE7" s="21"/>
      <c r="BF7" s="21"/>
      <c r="BG7" s="21"/>
      <c r="BH7" s="21"/>
    </row>
    <row r="8" spans="1:60" ht="13.5" customHeight="1" x14ac:dyDescent="0.3">
      <c r="A8" s="9"/>
      <c r="B8" s="9" t="s">
        <v>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3">
        <v>0.69657538673944297</v>
      </c>
    </row>
    <row r="9" spans="1:60" ht="13.5" customHeight="1" x14ac:dyDescent="0.3">
      <c r="B9" s="9" t="s">
        <v>15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13">
        <v>2.7094434824964892E-2</v>
      </c>
    </row>
    <row r="10" spans="1:60" ht="13.5" customHeight="1" x14ac:dyDescent="0.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13"/>
    </row>
    <row r="11" spans="1:60" ht="13.5" customHeight="1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60" ht="13.5" customHeight="1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13"/>
    </row>
    <row r="13" spans="1:60" ht="13.5" customHeight="1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13"/>
    </row>
    <row r="14" spans="1:60" ht="13.5" customHeight="1" x14ac:dyDescent="0.3">
      <c r="B14" s="9" t="s">
        <v>98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88">
        <f>+AX7+AX8+AX9</f>
        <v>0.7611243947813584</v>
      </c>
    </row>
    <row r="15" spans="1:60" ht="14.25" customHeight="1" x14ac:dyDescent="0.3">
      <c r="B15" s="8"/>
      <c r="C15" s="8"/>
      <c r="D15" s="8"/>
      <c r="E15" s="8"/>
      <c r="F15" s="8"/>
      <c r="G15" s="8"/>
      <c r="H15" s="8"/>
      <c r="I15" s="8"/>
      <c r="J15" s="8"/>
      <c r="K15" s="8"/>
      <c r="L15" s="19"/>
      <c r="M15" s="19"/>
      <c r="N15" s="19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60" ht="13.5" customHeight="1" x14ac:dyDescent="0.3">
      <c r="A16" s="12" t="s">
        <v>8</v>
      </c>
      <c r="AX16" s="18"/>
    </row>
    <row r="17" spans="1:60" ht="13.5" customHeight="1" x14ac:dyDescent="0.3">
      <c r="A17" s="12"/>
      <c r="B17" s="26" t="s">
        <v>18</v>
      </c>
      <c r="C17" s="18">
        <f>+'[24]Tx de Cambio Efetiva base 2001 '!C14</f>
        <v>19.581416666666701</v>
      </c>
      <c r="D17" s="18">
        <f>+'[24]Tx de Cambio Efetiva base 2001 '!D14</f>
        <v>41.20825</v>
      </c>
      <c r="E17" s="18">
        <f>+'[24]Tx de Cambio Efetiva base 2001 '!E14</f>
        <v>83.979416666666665</v>
      </c>
      <c r="F17" s="18">
        <f>+'[24]Tx de Cambio Efetiva base 2001 '!F14</f>
        <v>103.55708333333332</v>
      </c>
      <c r="G17" s="18">
        <f>+'[24]Tx de Cambio Efetiva base 2001 '!G14</f>
        <v>108.90708333333333</v>
      </c>
      <c r="H17" s="18">
        <f>+'[24]Tx de Cambio Efetiva base 2001 '!H14</f>
        <v>100.78897499999999</v>
      </c>
      <c r="I17" s="18">
        <f>+'[24]Tx de Cambio Efetiva base 2001 '!I14</f>
        <v>105.10779166666667</v>
      </c>
      <c r="J17" s="18">
        <f>+'[24]Tx de Cambio Efetiva base 2001 '!J14</f>
        <v>110.32816666666666</v>
      </c>
      <c r="K17" s="18">
        <f>+'[24]Tx de Cambio Efetiva base 2001 '!K14</f>
        <v>110.32183333333334</v>
      </c>
      <c r="L17" s="18">
        <f>+'[24]Tx de Cambio Efetiva base 2001 '!L14</f>
        <v>122.04191666666668</v>
      </c>
      <c r="M17" s="18">
        <f>+'[24]Tx de Cambio Efetiva base 2001 '!M14</f>
        <v>130.76874999999998</v>
      </c>
      <c r="N17" s="18">
        <f>+'[24]Tx de Cambio Efetiva base 2001 '!N14</f>
        <v>123.02606615141572</v>
      </c>
      <c r="O17" s="18">
        <f>+'[24]Tx de Cambio Efetiva base 2001 '!O14</f>
        <v>127.28899999999999</v>
      </c>
      <c r="P17" s="18">
        <f>+'[24]Tx de Cambio Efetiva base 2001 '!P14</f>
        <v>128.10089473684206</v>
      </c>
      <c r="Q17" s="18">
        <f>+'[24]Tx de Cambio Efetiva base 2001 '!Q14</f>
        <v>124.50605263157894</v>
      </c>
      <c r="R17" s="18">
        <f>+'[24]Tx de Cambio Efetiva base 2001 '!R14</f>
        <v>125.00604545454544</v>
      </c>
      <c r="S17" s="18">
        <f>+'[24]Tx de Cambio Efetiva base 2001 '!S14</f>
        <v>124.79895454545455</v>
      </c>
      <c r="T17" s="18">
        <f>+'[24]Tx de Cambio Efetiva base 2001 '!T14</f>
        <v>126.8052857142857</v>
      </c>
      <c r="U17" s="18">
        <f>+'[24]Tx de Cambio Efetiva base 2001 '!U14</f>
        <v>125.92004347826087</v>
      </c>
      <c r="V17" s="18">
        <f>+'[24]Tx de Cambio Efetiva base 2001 '!V14</f>
        <v>127.82075</v>
      </c>
      <c r="W17" s="18">
        <f>+'[24]Tx de Cambio Efetiva base 2001 '!W14</f>
        <v>129</v>
      </c>
      <c r="X17" s="18">
        <f>+'[24]Tx de Cambio Efetiva base 2001 '!X14</f>
        <v>132.86517391304346</v>
      </c>
      <c r="Y17" s="18">
        <f>+'[24]Tx de Cambio Efetiva base 2001 '!Y14</f>
        <v>131.57320000000001</v>
      </c>
      <c r="Z17" s="18" t="e">
        <f>+#REF!</f>
        <v>#REF!</v>
      </c>
      <c r="AA17" s="18" t="e">
        <f>+#REF!</f>
        <v>#REF!</v>
      </c>
      <c r="AB17" s="18" t="e">
        <f>+#REF!</f>
        <v>#REF!</v>
      </c>
      <c r="AC17" s="18" t="e">
        <f>+#REF!</f>
        <v>#REF!</v>
      </c>
      <c r="AD17" s="18" t="e">
        <f>+#REF!</f>
        <v>#REF!</v>
      </c>
      <c r="AE17" s="18" t="e">
        <f>+#REF!</f>
        <v>#REF!</v>
      </c>
      <c r="AF17" s="18" t="e">
        <f>+#REF!</f>
        <v>#REF!</v>
      </c>
      <c r="AG17" s="18" t="e">
        <f>+#REF!</f>
        <v>#REF!</v>
      </c>
      <c r="AH17" s="18" t="e">
        <f>+#REF!</f>
        <v>#REF!</v>
      </c>
      <c r="AI17" s="18" t="e">
        <f>+#REF!</f>
        <v>#REF!</v>
      </c>
      <c r="AJ17" s="18" t="e">
        <f>+#REF!</f>
        <v>#REF!</v>
      </c>
      <c r="AK17" s="18" t="e">
        <f>+#REF!</f>
        <v>#REF!</v>
      </c>
      <c r="AL17" s="18" t="e">
        <f>+#REF!</f>
        <v>#REF!</v>
      </c>
      <c r="AM17" s="18" t="e">
        <f>+#REF!</f>
        <v>#REF!</v>
      </c>
      <c r="AN17" s="18" t="e">
        <f>+#REF!</f>
        <v>#REF!</v>
      </c>
      <c r="AO17" s="18" t="e">
        <f>+#REF!</f>
        <v>#REF!</v>
      </c>
      <c r="AP17" s="18" t="e">
        <f>+#REF!</f>
        <v>#REF!</v>
      </c>
      <c r="AQ17" s="18" t="e">
        <f>+#REF!</f>
        <v>#REF!</v>
      </c>
      <c r="AR17" s="18" t="e">
        <f>+#REF!</f>
        <v>#REF!</v>
      </c>
      <c r="AS17" s="18" t="e">
        <f>+#REF!</f>
        <v>#REF!</v>
      </c>
      <c r="AT17" s="18" t="e">
        <f>+#REF!</f>
        <v>#REF!</v>
      </c>
      <c r="AU17" s="18" t="e">
        <f>+#REF!</f>
        <v>#REF!</v>
      </c>
      <c r="AV17" s="18" t="e">
        <f>+#REF!</f>
        <v>#REF!</v>
      </c>
      <c r="AW17" s="18" t="e">
        <f>+#REF!</f>
        <v>#REF!</v>
      </c>
      <c r="AX17" s="18" t="e">
        <f>+#REF!</f>
        <v>#REF!</v>
      </c>
      <c r="AY17" s="18" t="e">
        <f>+#REF!</f>
        <v>#REF!</v>
      </c>
      <c r="AZ17" s="18" t="e">
        <f>+#REF!</f>
        <v>#REF!</v>
      </c>
      <c r="BA17" s="18" t="e">
        <f>+#REF!</f>
        <v>#REF!</v>
      </c>
      <c r="BB17" s="18" t="e">
        <f>+#REF!</f>
        <v>#REF!</v>
      </c>
      <c r="BC17" s="18" t="e">
        <f>+#REF!</f>
        <v>#REF!</v>
      </c>
      <c r="BD17" s="18" t="e">
        <f>+#REF!</f>
        <v>#REF!</v>
      </c>
      <c r="BE17" s="18" t="e">
        <f>+#REF!</f>
        <v>#REF!</v>
      </c>
      <c r="BF17" s="18" t="e">
        <f>+#REF!</f>
        <v>#REF!</v>
      </c>
      <c r="BG17" s="18" t="e">
        <f>+#REF!</f>
        <v>#REF!</v>
      </c>
      <c r="BH17" s="18" t="e">
        <f>+#REF!</f>
        <v>#REF!</v>
      </c>
    </row>
    <row r="18" spans="1:60" ht="13.5" customHeight="1" x14ac:dyDescent="0.3">
      <c r="A18" s="12"/>
      <c r="B18" s="8" t="s">
        <v>17</v>
      </c>
      <c r="C18" s="18">
        <f t="shared" ref="C18:BE18" si="0">C19/C17</f>
        <v>1248.7860514007732</v>
      </c>
      <c r="D18" s="18">
        <f t="shared" si="0"/>
        <v>593.42486031316548</v>
      </c>
      <c r="E18" s="18">
        <f t="shared" si="0"/>
        <v>291.20230850218258</v>
      </c>
      <c r="F18" s="18">
        <f t="shared" si="0"/>
        <v>236.15960601439627</v>
      </c>
      <c r="G18" s="18">
        <f t="shared" si="0"/>
        <v>224.5675786316317</v>
      </c>
      <c r="H18" s="18">
        <f t="shared" si="0"/>
        <v>242.66543042034112</v>
      </c>
      <c r="I18" s="18">
        <f t="shared" si="0"/>
        <v>232.70396620612092</v>
      </c>
      <c r="J18" s="18">
        <f t="shared" si="0"/>
        <v>221.70222472653555</v>
      </c>
      <c r="K18" s="18">
        <f t="shared" si="0"/>
        <v>221.7240165515741</v>
      </c>
      <c r="L18" s="18">
        <f t="shared" si="0"/>
        <v>200.43932992967578</v>
      </c>
      <c r="M18" s="18">
        <f t="shared" si="0"/>
        <v>187.07068775988151</v>
      </c>
      <c r="N18" s="18">
        <f t="shared" si="0"/>
        <v>198.85216820548141</v>
      </c>
      <c r="O18" s="18">
        <f t="shared" si="0"/>
        <v>192.20042580270095</v>
      </c>
      <c r="P18" s="18">
        <f t="shared" si="0"/>
        <v>190.99007895503428</v>
      </c>
      <c r="Q18" s="18">
        <f t="shared" si="0"/>
        <v>196.51253479539147</v>
      </c>
      <c r="R18" s="18">
        <f t="shared" si="0"/>
        <v>195.73453356619481</v>
      </c>
      <c r="S18" s="18">
        <f t="shared" si="0"/>
        <v>196.06734759214547</v>
      </c>
      <c r="T18" s="18">
        <f t="shared" si="0"/>
        <v>192.97302838885719</v>
      </c>
      <c r="U18" s="18">
        <f t="shared" si="0"/>
        <v>194.33760761228399</v>
      </c>
      <c r="V18" s="18">
        <f t="shared" si="0"/>
        <v>191.45561264505176</v>
      </c>
      <c r="W18" s="18">
        <f t="shared" si="0"/>
        <v>189.71317829457365</v>
      </c>
      <c r="X18" s="18">
        <f t="shared" si="0"/>
        <v>184.20176844849914</v>
      </c>
      <c r="Y18" s="18">
        <f t="shared" si="0"/>
        <v>186.01812527171185</v>
      </c>
      <c r="Z18" s="18" t="e">
        <f t="shared" si="0"/>
        <v>#REF!</v>
      </c>
      <c r="AA18" s="18" t="e">
        <f t="shared" si="0"/>
        <v>#REF!</v>
      </c>
      <c r="AB18" s="18" t="e">
        <f t="shared" si="0"/>
        <v>#REF!</v>
      </c>
      <c r="AC18" s="18" t="e">
        <f t="shared" si="0"/>
        <v>#REF!</v>
      </c>
      <c r="AD18" s="18" t="e">
        <f t="shared" si="0"/>
        <v>#REF!</v>
      </c>
      <c r="AE18" s="18" t="e">
        <f t="shared" si="0"/>
        <v>#REF!</v>
      </c>
      <c r="AF18" s="18" t="e">
        <f t="shared" si="0"/>
        <v>#REF!</v>
      </c>
      <c r="AG18" s="18" t="e">
        <f t="shared" si="0"/>
        <v>#REF!</v>
      </c>
      <c r="AH18" s="18" t="e">
        <f t="shared" si="0"/>
        <v>#REF!</v>
      </c>
      <c r="AI18" s="18" t="e">
        <f t="shared" si="0"/>
        <v>#REF!</v>
      </c>
      <c r="AJ18" s="18" t="e">
        <f t="shared" si="0"/>
        <v>#REF!</v>
      </c>
      <c r="AK18" s="18" t="e">
        <f t="shared" si="0"/>
        <v>#REF!</v>
      </c>
      <c r="AL18" s="18" t="e">
        <f t="shared" si="0"/>
        <v>#REF!</v>
      </c>
      <c r="AM18" s="18" t="e">
        <f t="shared" si="0"/>
        <v>#REF!</v>
      </c>
      <c r="AN18" s="18" t="e">
        <f t="shared" si="0"/>
        <v>#REF!</v>
      </c>
      <c r="AO18" s="18" t="e">
        <f t="shared" si="0"/>
        <v>#REF!</v>
      </c>
      <c r="AP18" s="18" t="e">
        <f t="shared" si="0"/>
        <v>#REF!</v>
      </c>
      <c r="AQ18" s="18" t="e">
        <f t="shared" si="0"/>
        <v>#REF!</v>
      </c>
      <c r="AR18" s="18" t="e">
        <f t="shared" si="0"/>
        <v>#REF!</v>
      </c>
      <c r="AS18" s="18" t="e">
        <f t="shared" si="0"/>
        <v>#REF!</v>
      </c>
      <c r="AT18" s="18" t="e">
        <f t="shared" si="0"/>
        <v>#REF!</v>
      </c>
      <c r="AU18" s="18" t="e">
        <f t="shared" si="0"/>
        <v>#REF!</v>
      </c>
      <c r="AV18" s="18" t="e">
        <f t="shared" si="0"/>
        <v>#REF!</v>
      </c>
      <c r="AW18" s="18" t="e">
        <f t="shared" si="0"/>
        <v>#REF!</v>
      </c>
      <c r="AX18" s="18" t="e">
        <f t="shared" si="0"/>
        <v>#REF!</v>
      </c>
      <c r="AY18" s="18" t="e">
        <f t="shared" si="0"/>
        <v>#REF!</v>
      </c>
      <c r="AZ18" s="18" t="e">
        <f t="shared" si="0"/>
        <v>#REF!</v>
      </c>
      <c r="BA18" s="18" t="e">
        <f t="shared" si="0"/>
        <v>#REF!</v>
      </c>
      <c r="BB18" s="18" t="e">
        <f t="shared" si="0"/>
        <v>#REF!</v>
      </c>
      <c r="BC18" s="18" t="e">
        <f t="shared" si="0"/>
        <v>#REF!</v>
      </c>
      <c r="BD18" s="18" t="e">
        <f t="shared" si="0"/>
        <v>#REF!</v>
      </c>
      <c r="BE18" s="18" t="e">
        <f t="shared" si="0"/>
        <v>#REF!</v>
      </c>
      <c r="BF18" s="18" t="e">
        <f>BF19/BF17</f>
        <v>#REF!</v>
      </c>
      <c r="BG18" s="18" t="e">
        <f>BG19/BG17</f>
        <v>#REF!</v>
      </c>
      <c r="BH18" s="18" t="e">
        <f>BH19/BH17</f>
        <v>#REF!</v>
      </c>
    </row>
    <row r="19" spans="1:60" ht="13.5" customHeight="1" x14ac:dyDescent="0.3">
      <c r="A19" s="9"/>
      <c r="B19" s="8" t="s">
        <v>9</v>
      </c>
      <c r="C19" s="19">
        <v>24453</v>
      </c>
      <c r="D19" s="19">
        <v>24454</v>
      </c>
      <c r="E19" s="19">
        <v>24455</v>
      </c>
      <c r="F19" s="19">
        <v>24456</v>
      </c>
      <c r="G19" s="19">
        <v>24457</v>
      </c>
      <c r="H19" s="19">
        <v>24458</v>
      </c>
      <c r="I19" s="19">
        <v>24459</v>
      </c>
      <c r="J19" s="19">
        <v>24460</v>
      </c>
      <c r="K19" s="19">
        <v>24461</v>
      </c>
      <c r="L19" s="19">
        <v>24462</v>
      </c>
      <c r="M19" s="19">
        <v>24463</v>
      </c>
      <c r="N19" s="19">
        <v>24464</v>
      </c>
      <c r="O19" s="19">
        <v>24465</v>
      </c>
      <c r="P19" s="19">
        <v>24466</v>
      </c>
      <c r="Q19" s="19">
        <v>24467</v>
      </c>
      <c r="R19" s="19">
        <v>24468</v>
      </c>
      <c r="S19" s="19">
        <v>24469</v>
      </c>
      <c r="T19" s="19">
        <v>24470</v>
      </c>
      <c r="U19" s="19">
        <v>24471</v>
      </c>
      <c r="V19" s="19">
        <v>24472</v>
      </c>
      <c r="W19" s="19">
        <v>24473</v>
      </c>
      <c r="X19" s="19">
        <v>24474</v>
      </c>
      <c r="Y19" s="19">
        <v>24475</v>
      </c>
      <c r="Z19" s="19">
        <v>24476</v>
      </c>
      <c r="AA19" s="19">
        <v>24477</v>
      </c>
      <c r="AB19" s="19">
        <v>24478</v>
      </c>
      <c r="AC19" s="19">
        <v>24479</v>
      </c>
      <c r="AD19" s="19">
        <v>24480</v>
      </c>
      <c r="AE19" s="19">
        <v>24481</v>
      </c>
      <c r="AF19" s="19">
        <v>24482</v>
      </c>
      <c r="AG19" s="19">
        <v>24483</v>
      </c>
      <c r="AH19" s="19">
        <v>24484</v>
      </c>
      <c r="AI19" s="19">
        <v>24485</v>
      </c>
      <c r="AJ19" s="19">
        <v>24486</v>
      </c>
      <c r="AK19" s="19">
        <v>24487</v>
      </c>
      <c r="AL19" s="19">
        <v>24488</v>
      </c>
      <c r="AM19" s="19">
        <v>24489</v>
      </c>
      <c r="AN19" s="19">
        <v>24490</v>
      </c>
      <c r="AO19" s="19">
        <v>24491</v>
      </c>
      <c r="AP19" s="19">
        <v>24492</v>
      </c>
      <c r="AQ19" s="19">
        <v>24493</v>
      </c>
      <c r="AR19" s="19">
        <v>24494</v>
      </c>
      <c r="AS19" s="19">
        <v>24495</v>
      </c>
      <c r="AT19" s="19">
        <v>24496</v>
      </c>
      <c r="AU19" s="19">
        <v>24497</v>
      </c>
      <c r="AV19" s="19">
        <v>24498</v>
      </c>
      <c r="AW19" s="19">
        <v>24499</v>
      </c>
      <c r="AX19" s="19">
        <v>24500</v>
      </c>
      <c r="AY19" s="19">
        <v>24500</v>
      </c>
      <c r="AZ19" s="19">
        <v>24500</v>
      </c>
      <c r="BA19" s="19">
        <v>24500</v>
      </c>
      <c r="BB19" s="19">
        <v>24500</v>
      </c>
      <c r="BC19" s="19">
        <v>24500</v>
      </c>
      <c r="BD19" s="19">
        <v>24500</v>
      </c>
      <c r="BE19" s="19">
        <v>24500</v>
      </c>
      <c r="BF19" s="19">
        <v>24500</v>
      </c>
      <c r="BG19" s="19">
        <v>24500</v>
      </c>
      <c r="BH19" s="19">
        <v>24500</v>
      </c>
    </row>
    <row r="20" spans="1:60" ht="13.5" customHeight="1" x14ac:dyDescent="0.3">
      <c r="A20" s="9"/>
      <c r="B20" s="26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</row>
    <row r="21" spans="1:60" ht="13.5" customHeight="1" x14ac:dyDescent="0.3">
      <c r="A21" s="12" t="s">
        <v>22</v>
      </c>
      <c r="B21" s="26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60" ht="13.5" customHeight="1" x14ac:dyDescent="0.3">
      <c r="A22" s="9"/>
      <c r="B22" s="26" t="s">
        <v>21</v>
      </c>
      <c r="C22" s="24">
        <f t="shared" ref="C22:BG23" si="1">1/C18</f>
        <v>8.0077768235663118E-4</v>
      </c>
      <c r="D22" s="24">
        <f t="shared" si="1"/>
        <v>1.685133311523677E-3</v>
      </c>
      <c r="E22" s="24">
        <f t="shared" si="1"/>
        <v>3.4340387105568052E-3</v>
      </c>
      <c r="F22" s="24">
        <f t="shared" si="1"/>
        <v>4.2344244084614544E-3</v>
      </c>
      <c r="G22" s="24">
        <f t="shared" si="1"/>
        <v>4.4530025486908993E-3</v>
      </c>
      <c r="H22" s="24">
        <f t="shared" si="1"/>
        <v>4.1209001144819693E-3</v>
      </c>
      <c r="I22" s="24">
        <f t="shared" si="1"/>
        <v>4.2973053545388882E-3</v>
      </c>
      <c r="J22" s="24">
        <f t="shared" si="1"/>
        <v>4.5105546470427908E-3</v>
      </c>
      <c r="K22" s="24">
        <f t="shared" si="1"/>
        <v>4.510111333687639E-3</v>
      </c>
      <c r="L22" s="24">
        <f t="shared" si="1"/>
        <v>4.98904082522552E-3</v>
      </c>
      <c r="M22" s="24">
        <f t="shared" si="1"/>
        <v>5.3455729060213376E-3</v>
      </c>
      <c r="N22" s="24">
        <f t="shared" si="1"/>
        <v>5.0288614352279153E-3</v>
      </c>
      <c r="O22" s="24">
        <f t="shared" si="1"/>
        <v>5.2029021050480273E-3</v>
      </c>
      <c r="P22" s="24">
        <f t="shared" si="1"/>
        <v>5.2358740593820841E-3</v>
      </c>
      <c r="Q22" s="24">
        <f t="shared" si="1"/>
        <v>5.0887339122728144E-3</v>
      </c>
      <c r="R22" s="24">
        <f t="shared" si="1"/>
        <v>5.1089604975701102E-3</v>
      </c>
      <c r="S22" s="24">
        <f t="shared" si="1"/>
        <v>5.1002883054254182E-3</v>
      </c>
      <c r="T22" s="24">
        <f t="shared" si="1"/>
        <v>5.1820713410006417E-3</v>
      </c>
      <c r="U22" s="24">
        <f t="shared" si="1"/>
        <v>5.145684421489145E-3</v>
      </c>
      <c r="V22" s="24">
        <f t="shared" si="1"/>
        <v>5.2231427754168029E-3</v>
      </c>
      <c r="W22" s="24">
        <f t="shared" si="1"/>
        <v>5.2711151064438362E-3</v>
      </c>
      <c r="X22" s="24">
        <f t="shared" si="1"/>
        <v>5.4288295298293484E-3</v>
      </c>
      <c r="Y22" s="24">
        <f t="shared" si="1"/>
        <v>5.3758202247191017E-3</v>
      </c>
      <c r="Z22" s="24" t="e">
        <f t="shared" si="1"/>
        <v>#REF!</v>
      </c>
      <c r="AA22" s="24" t="e">
        <f t="shared" si="1"/>
        <v>#REF!</v>
      </c>
      <c r="AB22" s="24" t="e">
        <f t="shared" si="1"/>
        <v>#REF!</v>
      </c>
      <c r="AC22" s="24" t="e">
        <f t="shared" si="1"/>
        <v>#REF!</v>
      </c>
      <c r="AD22" s="24" t="e">
        <f t="shared" si="1"/>
        <v>#REF!</v>
      </c>
      <c r="AE22" s="24" t="e">
        <f t="shared" si="1"/>
        <v>#REF!</v>
      </c>
      <c r="AF22" s="24" t="e">
        <f t="shared" si="1"/>
        <v>#REF!</v>
      </c>
      <c r="AG22" s="24" t="e">
        <f t="shared" si="1"/>
        <v>#REF!</v>
      </c>
      <c r="AH22" s="24" t="e">
        <f t="shared" si="1"/>
        <v>#REF!</v>
      </c>
      <c r="AI22" s="24" t="e">
        <f t="shared" si="1"/>
        <v>#REF!</v>
      </c>
      <c r="AJ22" s="24" t="e">
        <f t="shared" si="1"/>
        <v>#REF!</v>
      </c>
      <c r="AK22" s="24" t="e">
        <f t="shared" si="1"/>
        <v>#REF!</v>
      </c>
      <c r="AL22" s="24" t="e">
        <f t="shared" si="1"/>
        <v>#REF!</v>
      </c>
      <c r="AM22" s="24" t="e">
        <f t="shared" si="1"/>
        <v>#REF!</v>
      </c>
      <c r="AN22" s="24" t="e">
        <f t="shared" si="1"/>
        <v>#REF!</v>
      </c>
      <c r="AO22" s="24" t="e">
        <f t="shared" si="1"/>
        <v>#REF!</v>
      </c>
      <c r="AP22" s="24" t="e">
        <f t="shared" si="1"/>
        <v>#REF!</v>
      </c>
      <c r="AQ22" s="24" t="e">
        <f t="shared" si="1"/>
        <v>#REF!</v>
      </c>
      <c r="AR22" s="24" t="e">
        <f t="shared" si="1"/>
        <v>#REF!</v>
      </c>
      <c r="AS22" s="24" t="e">
        <f t="shared" si="1"/>
        <v>#REF!</v>
      </c>
      <c r="AT22" s="24" t="e">
        <f t="shared" si="1"/>
        <v>#REF!</v>
      </c>
      <c r="AU22" s="24" t="e">
        <f t="shared" si="1"/>
        <v>#REF!</v>
      </c>
      <c r="AV22" s="24" t="e">
        <f t="shared" si="1"/>
        <v>#REF!</v>
      </c>
      <c r="AW22" s="24" t="e">
        <f t="shared" si="1"/>
        <v>#REF!</v>
      </c>
      <c r="AX22" s="24" t="e">
        <f t="shared" si="1"/>
        <v>#REF!</v>
      </c>
      <c r="AY22" s="24" t="e">
        <f t="shared" si="1"/>
        <v>#REF!</v>
      </c>
      <c r="AZ22" s="24" t="e">
        <f t="shared" si="1"/>
        <v>#REF!</v>
      </c>
      <c r="BA22" s="24" t="e">
        <f t="shared" si="1"/>
        <v>#REF!</v>
      </c>
      <c r="BB22" s="24" t="e">
        <f t="shared" si="1"/>
        <v>#REF!</v>
      </c>
      <c r="BC22" s="24" t="e">
        <f t="shared" si="1"/>
        <v>#REF!</v>
      </c>
      <c r="BD22" s="24" t="e">
        <f t="shared" si="1"/>
        <v>#REF!</v>
      </c>
      <c r="BE22" s="24" t="e">
        <f t="shared" si="1"/>
        <v>#REF!</v>
      </c>
      <c r="BF22" s="24" t="e">
        <f t="shared" si="1"/>
        <v>#REF!</v>
      </c>
      <c r="BG22" s="24" t="e">
        <f t="shared" si="1"/>
        <v>#REF!</v>
      </c>
      <c r="BH22" s="24" t="e">
        <f t="shared" ref="BH22" si="2">1/BH18</f>
        <v>#REF!</v>
      </c>
    </row>
    <row r="23" spans="1:60" ht="13.5" customHeight="1" x14ac:dyDescent="0.3">
      <c r="A23" s="9"/>
      <c r="B23" s="26" t="s">
        <v>20</v>
      </c>
      <c r="C23" s="24">
        <f t="shared" si="1"/>
        <v>4.0894777736882998E-5</v>
      </c>
      <c r="D23" s="24">
        <f t="shared" si="1"/>
        <v>4.0893105422425777E-5</v>
      </c>
      <c r="E23" s="24">
        <f t="shared" si="1"/>
        <v>4.0891433244735225E-5</v>
      </c>
      <c r="F23" s="24">
        <f t="shared" si="1"/>
        <v>4.0889761203794571E-5</v>
      </c>
      <c r="G23" s="24">
        <f t="shared" si="1"/>
        <v>4.0888089299587031E-5</v>
      </c>
      <c r="H23" s="24">
        <f t="shared" si="1"/>
        <v>4.088641753209584E-5</v>
      </c>
      <c r="I23" s="24">
        <f t="shared" si="1"/>
        <v>4.0884745901304227E-5</v>
      </c>
      <c r="J23" s="24">
        <f t="shared" si="1"/>
        <v>4.088307440719542E-5</v>
      </c>
      <c r="K23" s="24">
        <f t="shared" si="1"/>
        <v>4.0881403049752668E-5</v>
      </c>
      <c r="L23" s="24">
        <f t="shared" si="1"/>
        <v>4.0879731828959201E-5</v>
      </c>
      <c r="M23" s="24">
        <f t="shared" si="1"/>
        <v>4.0878060744798267E-5</v>
      </c>
      <c r="N23" s="24">
        <f t="shared" si="1"/>
        <v>4.0876389797253109E-5</v>
      </c>
      <c r="O23" s="24">
        <f t="shared" si="1"/>
        <v>4.0874718986306969E-5</v>
      </c>
      <c r="P23" s="24">
        <f t="shared" si="1"/>
        <v>4.0873048311943103E-5</v>
      </c>
      <c r="Q23" s="24">
        <f t="shared" si="1"/>
        <v>4.0871377774144766E-5</v>
      </c>
      <c r="R23" s="24">
        <f t="shared" si="1"/>
        <v>4.0869707372895208E-5</v>
      </c>
      <c r="S23" s="24">
        <f t="shared" si="1"/>
        <v>4.0868037108177692E-5</v>
      </c>
      <c r="T23" s="24">
        <f t="shared" si="1"/>
        <v>4.0866366979975479E-5</v>
      </c>
      <c r="U23" s="24">
        <f t="shared" si="1"/>
        <v>4.0864696988271833E-5</v>
      </c>
      <c r="V23" s="24">
        <f t="shared" si="1"/>
        <v>4.0863027133050016E-5</v>
      </c>
      <c r="W23" s="24">
        <f t="shared" si="1"/>
        <v>4.0861357414293305E-5</v>
      </c>
      <c r="X23" s="24">
        <f t="shared" si="1"/>
        <v>4.0859687831984962E-5</v>
      </c>
      <c r="Y23" s="24">
        <f t="shared" si="1"/>
        <v>4.0858018386108277E-5</v>
      </c>
      <c r="Z23" s="24">
        <f t="shared" si="1"/>
        <v>4.0856349076646512E-5</v>
      </c>
      <c r="AA23" s="24">
        <f t="shared" si="1"/>
        <v>4.0854679903582957E-5</v>
      </c>
      <c r="AB23" s="24">
        <f t="shared" si="1"/>
        <v>4.0853010866900888E-5</v>
      </c>
      <c r="AC23" s="24">
        <f t="shared" si="1"/>
        <v>4.0851341966583603E-5</v>
      </c>
      <c r="AD23" s="24">
        <f t="shared" si="1"/>
        <v>4.0849673202614376E-5</v>
      </c>
      <c r="AE23" s="24">
        <f t="shared" si="1"/>
        <v>4.0848004574976512E-5</v>
      </c>
      <c r="AF23" s="24">
        <f t="shared" si="1"/>
        <v>4.0846336083653293E-5</v>
      </c>
      <c r="AG23" s="24">
        <f t="shared" si="1"/>
        <v>4.0844667728628029E-5</v>
      </c>
      <c r="AH23" s="24">
        <f t="shared" si="1"/>
        <v>4.0842999509884004E-5</v>
      </c>
      <c r="AI23" s="24">
        <f t="shared" si="1"/>
        <v>4.0841331427404534E-5</v>
      </c>
      <c r="AJ23" s="24">
        <f t="shared" si="1"/>
        <v>4.0839663481172915E-5</v>
      </c>
      <c r="AK23" s="24">
        <f t="shared" si="1"/>
        <v>4.0837995671172459E-5</v>
      </c>
      <c r="AL23" s="24">
        <f t="shared" si="1"/>
        <v>4.0836327997386474E-5</v>
      </c>
      <c r="AM23" s="24">
        <f t="shared" si="1"/>
        <v>4.0834660459798277E-5</v>
      </c>
      <c r="AN23" s="24">
        <f t="shared" si="1"/>
        <v>4.083299305839118E-5</v>
      </c>
      <c r="AO23" s="24">
        <f t="shared" si="1"/>
        <v>4.0831325793148504E-5</v>
      </c>
      <c r="AP23" s="24">
        <f t="shared" si="1"/>
        <v>4.0829658664053568E-5</v>
      </c>
      <c r="AQ23" s="24">
        <f t="shared" si="1"/>
        <v>4.0827991671089701E-5</v>
      </c>
      <c r="AR23" s="24">
        <f t="shared" si="1"/>
        <v>4.0826324814240221E-5</v>
      </c>
      <c r="AS23" s="24">
        <f t="shared" si="1"/>
        <v>4.0824658093488464E-5</v>
      </c>
      <c r="AT23" s="24">
        <f t="shared" si="1"/>
        <v>4.0822991508817768E-5</v>
      </c>
      <c r="AU23" s="24">
        <f t="shared" si="1"/>
        <v>4.0821325060211456E-5</v>
      </c>
      <c r="AV23" s="24">
        <f t="shared" si="1"/>
        <v>4.0819658747652872E-5</v>
      </c>
      <c r="AW23" s="24">
        <f t="shared" si="1"/>
        <v>4.0817992571125354E-5</v>
      </c>
      <c r="AX23" s="24">
        <f>1/AX19</f>
        <v>4.0816326530612245E-5</v>
      </c>
      <c r="AY23" s="24">
        <f t="shared" si="1"/>
        <v>4.0816326530612245E-5</v>
      </c>
      <c r="AZ23" s="24">
        <f t="shared" si="1"/>
        <v>4.0816326530612245E-5</v>
      </c>
      <c r="BA23" s="24">
        <f t="shared" si="1"/>
        <v>4.0816326530612245E-5</v>
      </c>
      <c r="BB23" s="24">
        <f t="shared" si="1"/>
        <v>4.0816326530612245E-5</v>
      </c>
      <c r="BC23" s="24">
        <f t="shared" si="1"/>
        <v>4.0816326530612245E-5</v>
      </c>
      <c r="BD23" s="24">
        <f t="shared" si="1"/>
        <v>4.0816326530612245E-5</v>
      </c>
      <c r="BE23" s="24">
        <f t="shared" si="1"/>
        <v>4.0816326530612245E-5</v>
      </c>
      <c r="BF23" s="24">
        <f>1/BF19</f>
        <v>4.0816326530612245E-5</v>
      </c>
      <c r="BG23" s="24">
        <f>1/BG19</f>
        <v>4.0816326530612245E-5</v>
      </c>
      <c r="BH23" s="24">
        <f>1/BH19</f>
        <v>4.0816326530612245E-5</v>
      </c>
    </row>
    <row r="24" spans="1:60" ht="13.5" customHeight="1" x14ac:dyDescent="0.3">
      <c r="A24" s="12" t="s">
        <v>43</v>
      </c>
      <c r="B24" s="8"/>
    </row>
    <row r="25" spans="1:60" ht="13.5" customHeight="1" x14ac:dyDescent="0.3">
      <c r="A25" s="9"/>
      <c r="B25" s="8"/>
    </row>
    <row r="26" spans="1:60" ht="13.5" customHeight="1" x14ac:dyDescent="0.3">
      <c r="B26" s="8" t="s">
        <v>17</v>
      </c>
      <c r="C26" s="19" t="e">
        <f t="shared" ref="C26:BG26" si="3">C22/$AL$22</f>
        <v>#REF!</v>
      </c>
      <c r="D26" s="19" t="e">
        <f t="shared" si="3"/>
        <v>#REF!</v>
      </c>
      <c r="E26" s="19" t="e">
        <f t="shared" si="3"/>
        <v>#REF!</v>
      </c>
      <c r="F26" s="19" t="e">
        <f t="shared" si="3"/>
        <v>#REF!</v>
      </c>
      <c r="G26" s="19" t="e">
        <f t="shared" si="3"/>
        <v>#REF!</v>
      </c>
      <c r="H26" s="19" t="e">
        <f t="shared" si="3"/>
        <v>#REF!</v>
      </c>
      <c r="I26" s="19" t="e">
        <f t="shared" si="3"/>
        <v>#REF!</v>
      </c>
      <c r="J26" s="19" t="e">
        <f t="shared" si="3"/>
        <v>#REF!</v>
      </c>
      <c r="K26" s="19" t="e">
        <f t="shared" si="3"/>
        <v>#REF!</v>
      </c>
      <c r="L26" s="19" t="e">
        <f t="shared" si="3"/>
        <v>#REF!</v>
      </c>
      <c r="M26" s="19" t="e">
        <f t="shared" si="3"/>
        <v>#REF!</v>
      </c>
      <c r="N26" s="19" t="e">
        <f t="shared" si="3"/>
        <v>#REF!</v>
      </c>
      <c r="O26" s="19" t="e">
        <f t="shared" si="3"/>
        <v>#REF!</v>
      </c>
      <c r="P26" s="19" t="e">
        <f t="shared" si="3"/>
        <v>#REF!</v>
      </c>
      <c r="Q26" s="19" t="e">
        <f t="shared" si="3"/>
        <v>#REF!</v>
      </c>
      <c r="R26" s="19" t="e">
        <f t="shared" si="3"/>
        <v>#REF!</v>
      </c>
      <c r="S26" s="19" t="e">
        <f t="shared" si="3"/>
        <v>#REF!</v>
      </c>
      <c r="T26" s="19" t="e">
        <f t="shared" si="3"/>
        <v>#REF!</v>
      </c>
      <c r="U26" s="19" t="e">
        <f t="shared" si="3"/>
        <v>#REF!</v>
      </c>
      <c r="V26" s="19" t="e">
        <f t="shared" si="3"/>
        <v>#REF!</v>
      </c>
      <c r="W26" s="19" t="e">
        <f t="shared" si="3"/>
        <v>#REF!</v>
      </c>
      <c r="X26" s="19" t="e">
        <f t="shared" si="3"/>
        <v>#REF!</v>
      </c>
      <c r="Y26" s="19" t="e">
        <f t="shared" si="3"/>
        <v>#REF!</v>
      </c>
      <c r="Z26" s="19" t="e">
        <f t="shared" si="3"/>
        <v>#REF!</v>
      </c>
      <c r="AA26" s="19" t="e">
        <f t="shared" si="3"/>
        <v>#REF!</v>
      </c>
      <c r="AB26" s="19" t="e">
        <f t="shared" si="3"/>
        <v>#REF!</v>
      </c>
      <c r="AC26" s="19" t="e">
        <f t="shared" si="3"/>
        <v>#REF!</v>
      </c>
      <c r="AD26" s="19" t="e">
        <f t="shared" si="3"/>
        <v>#REF!</v>
      </c>
      <c r="AE26" s="19" t="e">
        <f t="shared" si="3"/>
        <v>#REF!</v>
      </c>
      <c r="AF26" s="19" t="e">
        <f t="shared" si="3"/>
        <v>#REF!</v>
      </c>
      <c r="AG26" s="19" t="e">
        <f t="shared" si="3"/>
        <v>#REF!</v>
      </c>
      <c r="AH26" s="19" t="e">
        <f t="shared" si="3"/>
        <v>#REF!</v>
      </c>
      <c r="AI26" s="19" t="e">
        <f t="shared" si="3"/>
        <v>#REF!</v>
      </c>
      <c r="AJ26" s="19" t="e">
        <f t="shared" si="3"/>
        <v>#REF!</v>
      </c>
      <c r="AK26" s="19" t="e">
        <f t="shared" si="3"/>
        <v>#REF!</v>
      </c>
      <c r="AL26" s="19" t="e">
        <f t="shared" si="3"/>
        <v>#REF!</v>
      </c>
      <c r="AM26" s="19" t="e">
        <f t="shared" si="3"/>
        <v>#REF!</v>
      </c>
      <c r="AN26" s="19" t="e">
        <f t="shared" si="3"/>
        <v>#REF!</v>
      </c>
      <c r="AO26" s="19" t="e">
        <f t="shared" si="3"/>
        <v>#REF!</v>
      </c>
      <c r="AP26" s="19" t="e">
        <f t="shared" si="3"/>
        <v>#REF!</v>
      </c>
      <c r="AQ26" s="19" t="e">
        <f t="shared" si="3"/>
        <v>#REF!</v>
      </c>
      <c r="AR26" s="19" t="e">
        <f t="shared" si="3"/>
        <v>#REF!</v>
      </c>
      <c r="AS26" s="19" t="e">
        <f t="shared" si="3"/>
        <v>#REF!</v>
      </c>
      <c r="AT26" s="19" t="e">
        <f t="shared" si="3"/>
        <v>#REF!</v>
      </c>
      <c r="AU26" s="19" t="e">
        <f t="shared" si="3"/>
        <v>#REF!</v>
      </c>
      <c r="AV26" s="19" t="e">
        <f t="shared" si="3"/>
        <v>#REF!</v>
      </c>
      <c r="AW26" s="19" t="e">
        <f t="shared" si="3"/>
        <v>#REF!</v>
      </c>
      <c r="AX26" s="19" t="e">
        <f t="shared" si="3"/>
        <v>#REF!</v>
      </c>
      <c r="AY26" s="19" t="e">
        <f t="shared" si="3"/>
        <v>#REF!</v>
      </c>
      <c r="AZ26" s="19" t="e">
        <f t="shared" si="3"/>
        <v>#REF!</v>
      </c>
      <c r="BA26" s="19" t="e">
        <f t="shared" si="3"/>
        <v>#REF!</v>
      </c>
      <c r="BB26" s="19" t="e">
        <f t="shared" si="3"/>
        <v>#REF!</v>
      </c>
      <c r="BC26" s="19" t="e">
        <f t="shared" si="3"/>
        <v>#REF!</v>
      </c>
      <c r="BD26" s="19" t="e">
        <f t="shared" si="3"/>
        <v>#REF!</v>
      </c>
      <c r="BE26" s="19" t="e">
        <f t="shared" si="3"/>
        <v>#REF!</v>
      </c>
      <c r="BF26" s="19" t="e">
        <f t="shared" si="3"/>
        <v>#REF!</v>
      </c>
      <c r="BG26" s="19" t="e">
        <f t="shared" si="3"/>
        <v>#REF!</v>
      </c>
      <c r="BH26" s="19" t="e">
        <f t="shared" ref="BH26" si="4">BH22/$AL$22</f>
        <v>#REF!</v>
      </c>
    </row>
    <row r="27" spans="1:60" ht="13.5" customHeight="1" x14ac:dyDescent="0.3">
      <c r="A27" s="9"/>
      <c r="B27" s="8" t="s">
        <v>9</v>
      </c>
      <c r="C27" s="19">
        <f t="shared" ref="C27:BG27" si="5">C23/$AL$23</f>
        <v>1.0014313172207909</v>
      </c>
      <c r="D27" s="19">
        <f t="shared" si="5"/>
        <v>1.0013903655843623</v>
      </c>
      <c r="E27" s="19">
        <f t="shared" si="5"/>
        <v>1.0013494172970763</v>
      </c>
      <c r="F27" s="19">
        <f t="shared" si="5"/>
        <v>1.0013084723585215</v>
      </c>
      <c r="G27" s="19">
        <f t="shared" si="5"/>
        <v>1.0012675307682872</v>
      </c>
      <c r="H27" s="19">
        <f t="shared" si="5"/>
        <v>1.0012265925259629</v>
      </c>
      <c r="I27" s="19">
        <f t="shared" si="5"/>
        <v>1.001185657631138</v>
      </c>
      <c r="J27" s="19">
        <f t="shared" si="5"/>
        <v>1.0011447260834014</v>
      </c>
      <c r="K27" s="19">
        <f t="shared" si="5"/>
        <v>1.0011037978823434</v>
      </c>
      <c r="L27" s="19">
        <f t="shared" si="5"/>
        <v>1.001062873027553</v>
      </c>
      <c r="M27" s="19">
        <f t="shared" si="5"/>
        <v>1.0010219515186201</v>
      </c>
      <c r="N27" s="19">
        <f t="shared" si="5"/>
        <v>1.0009810333551341</v>
      </c>
      <c r="O27" s="19">
        <f t="shared" si="5"/>
        <v>1.0009401185366851</v>
      </c>
      <c r="P27" s="19">
        <f t="shared" si="5"/>
        <v>1.0008992070628628</v>
      </c>
      <c r="Q27" s="19">
        <f t="shared" si="5"/>
        <v>1.0008582989332571</v>
      </c>
      <c r="R27" s="19">
        <f t="shared" si="5"/>
        <v>1.0008173941474579</v>
      </c>
      <c r="S27" s="19">
        <f t="shared" si="5"/>
        <v>1.0007764927050553</v>
      </c>
      <c r="T27" s="19">
        <f t="shared" si="5"/>
        <v>1.0007355946056395</v>
      </c>
      <c r="U27" s="19">
        <f t="shared" si="5"/>
        <v>1.0006946998488007</v>
      </c>
      <c r="V27" s="19">
        <f t="shared" si="5"/>
        <v>1.0006538084341288</v>
      </c>
      <c r="W27" s="19">
        <f t="shared" si="5"/>
        <v>1.0006129203612144</v>
      </c>
      <c r="X27" s="19">
        <f t="shared" si="5"/>
        <v>1.0005720356296477</v>
      </c>
      <c r="Y27" s="19">
        <f t="shared" si="5"/>
        <v>1.0005311542390196</v>
      </c>
      <c r="Z27" s="19">
        <f t="shared" si="5"/>
        <v>1.0004902761889198</v>
      </c>
      <c r="AA27" s="19">
        <f t="shared" si="5"/>
        <v>1.0004494014789396</v>
      </c>
      <c r="AB27" s="19">
        <f t="shared" si="5"/>
        <v>1.0004085301086689</v>
      </c>
      <c r="AC27" s="19">
        <f t="shared" si="5"/>
        <v>1.0003676620776993</v>
      </c>
      <c r="AD27" s="19">
        <f t="shared" si="5"/>
        <v>1.0003267973856209</v>
      </c>
      <c r="AE27" s="19">
        <f t="shared" si="5"/>
        <v>1.0002859360320249</v>
      </c>
      <c r="AF27" s="19">
        <f t="shared" si="5"/>
        <v>1.000245078016502</v>
      </c>
      <c r="AG27" s="19">
        <f t="shared" si="5"/>
        <v>1.0002042233386432</v>
      </c>
      <c r="AH27" s="19">
        <f t="shared" si="5"/>
        <v>1.0001633719980396</v>
      </c>
      <c r="AI27" s="19">
        <f t="shared" si="5"/>
        <v>1.0001225239942824</v>
      </c>
      <c r="AJ27" s="19">
        <f t="shared" si="5"/>
        <v>1.0000816793269625</v>
      </c>
      <c r="AK27" s="19">
        <f t="shared" si="5"/>
        <v>1.0000408379956711</v>
      </c>
      <c r="AL27" s="19">
        <f t="shared" si="5"/>
        <v>1</v>
      </c>
      <c r="AM27" s="19">
        <f t="shared" si="5"/>
        <v>0.99995916533954021</v>
      </c>
      <c r="AN27" s="19">
        <f t="shared" si="5"/>
        <v>0.99991833401388319</v>
      </c>
      <c r="AO27" s="19">
        <f t="shared" si="5"/>
        <v>0.9998775060226206</v>
      </c>
      <c r="AP27" s="19">
        <f t="shared" si="5"/>
        <v>0.99983668136534376</v>
      </c>
      <c r="AQ27" s="19">
        <f t="shared" si="5"/>
        <v>0.99979586004164467</v>
      </c>
      <c r="AR27" s="19">
        <f t="shared" si="5"/>
        <v>0.99975504205111454</v>
      </c>
      <c r="AS27" s="19">
        <f t="shared" si="5"/>
        <v>0.99971422739334548</v>
      </c>
      <c r="AT27" s="19">
        <f t="shared" si="5"/>
        <v>0.99967341606792948</v>
      </c>
      <c r="AU27" s="19">
        <f t="shared" si="5"/>
        <v>0.9996326080744582</v>
      </c>
      <c r="AV27" s="19">
        <f t="shared" si="5"/>
        <v>0.99959180341252352</v>
      </c>
      <c r="AW27" s="19">
        <f t="shared" si="5"/>
        <v>0.99955100208171765</v>
      </c>
      <c r="AX27" s="19">
        <f t="shared" si="5"/>
        <v>0.99951020408163271</v>
      </c>
      <c r="AY27" s="19">
        <f t="shared" si="5"/>
        <v>0.99951020408163271</v>
      </c>
      <c r="AZ27" s="19">
        <f t="shared" si="5"/>
        <v>0.99951020408163271</v>
      </c>
      <c r="BA27" s="19">
        <f t="shared" si="5"/>
        <v>0.99951020408163271</v>
      </c>
      <c r="BB27" s="19">
        <f t="shared" si="5"/>
        <v>0.99951020408163271</v>
      </c>
      <c r="BC27" s="19">
        <f t="shared" si="5"/>
        <v>0.99951020408163271</v>
      </c>
      <c r="BD27" s="19">
        <f t="shared" si="5"/>
        <v>0.99951020408163271</v>
      </c>
      <c r="BE27" s="19">
        <f t="shared" si="5"/>
        <v>0.99951020408163271</v>
      </c>
      <c r="BF27" s="19">
        <f t="shared" si="5"/>
        <v>0.99951020408163271</v>
      </c>
      <c r="BG27" s="19">
        <f t="shared" si="5"/>
        <v>0.99951020408163271</v>
      </c>
      <c r="BH27" s="19">
        <f t="shared" ref="BH27" si="6">BH23/$AL$23</f>
        <v>0.99951020408163271</v>
      </c>
    </row>
    <row r="28" spans="1:60" ht="13.5" customHeight="1" x14ac:dyDescent="0.3">
      <c r="A28" s="9"/>
      <c r="B28" s="8"/>
    </row>
    <row r="29" spans="1:60" ht="13.5" customHeight="1" x14ac:dyDescent="0.3">
      <c r="A29" s="9"/>
      <c r="B29" s="8"/>
      <c r="C29" s="19" t="e">
        <f>100*(((C22/$AL$22)^$AX$6)*((C23/$AL$23)^$AX$14))</f>
        <v>#REF!</v>
      </c>
      <c r="D29" s="19" t="e">
        <f t="shared" ref="D29:BG29" si="7">100*(((D22/$AL$22)^$AX$6)*((D23/$AL$23)^$AX$14))</f>
        <v>#REF!</v>
      </c>
      <c r="E29" s="19" t="e">
        <f t="shared" si="7"/>
        <v>#REF!</v>
      </c>
      <c r="F29" s="19" t="e">
        <f t="shared" si="7"/>
        <v>#REF!</v>
      </c>
      <c r="G29" s="19" t="e">
        <f t="shared" si="7"/>
        <v>#REF!</v>
      </c>
      <c r="H29" s="19" t="e">
        <f t="shared" si="7"/>
        <v>#REF!</v>
      </c>
      <c r="I29" s="19" t="e">
        <f t="shared" si="7"/>
        <v>#REF!</v>
      </c>
      <c r="J29" s="19" t="e">
        <f t="shared" si="7"/>
        <v>#REF!</v>
      </c>
      <c r="K29" s="19" t="e">
        <f t="shared" si="7"/>
        <v>#REF!</v>
      </c>
      <c r="L29" s="19" t="e">
        <f t="shared" si="7"/>
        <v>#REF!</v>
      </c>
      <c r="M29" s="19" t="e">
        <f t="shared" si="7"/>
        <v>#REF!</v>
      </c>
      <c r="N29" s="19" t="e">
        <f t="shared" si="7"/>
        <v>#REF!</v>
      </c>
      <c r="O29" s="19" t="e">
        <f t="shared" si="7"/>
        <v>#REF!</v>
      </c>
      <c r="P29" s="19" t="e">
        <f t="shared" si="7"/>
        <v>#REF!</v>
      </c>
      <c r="Q29" s="19" t="e">
        <f t="shared" si="7"/>
        <v>#REF!</v>
      </c>
      <c r="R29" s="19" t="e">
        <f t="shared" si="7"/>
        <v>#REF!</v>
      </c>
      <c r="S29" s="19" t="e">
        <f t="shared" si="7"/>
        <v>#REF!</v>
      </c>
      <c r="T29" s="19" t="e">
        <f t="shared" si="7"/>
        <v>#REF!</v>
      </c>
      <c r="U29" s="19" t="e">
        <f t="shared" si="7"/>
        <v>#REF!</v>
      </c>
      <c r="V29" s="19" t="e">
        <f t="shared" si="7"/>
        <v>#REF!</v>
      </c>
      <c r="W29" s="19" t="e">
        <f t="shared" si="7"/>
        <v>#REF!</v>
      </c>
      <c r="X29" s="19" t="e">
        <f t="shared" si="7"/>
        <v>#REF!</v>
      </c>
      <c r="Y29" s="19" t="e">
        <f t="shared" si="7"/>
        <v>#REF!</v>
      </c>
      <c r="Z29" s="19" t="e">
        <f t="shared" si="7"/>
        <v>#REF!</v>
      </c>
      <c r="AA29" s="19" t="e">
        <f t="shared" si="7"/>
        <v>#REF!</v>
      </c>
      <c r="AB29" s="19" t="e">
        <f t="shared" si="7"/>
        <v>#REF!</v>
      </c>
      <c r="AC29" s="19" t="e">
        <f t="shared" si="7"/>
        <v>#REF!</v>
      </c>
      <c r="AD29" s="19" t="e">
        <f t="shared" si="7"/>
        <v>#REF!</v>
      </c>
      <c r="AE29" s="19" t="e">
        <f t="shared" si="7"/>
        <v>#REF!</v>
      </c>
      <c r="AF29" s="19" t="e">
        <f t="shared" si="7"/>
        <v>#REF!</v>
      </c>
      <c r="AG29" s="19" t="e">
        <f t="shared" si="7"/>
        <v>#REF!</v>
      </c>
      <c r="AH29" s="19" t="e">
        <f t="shared" si="7"/>
        <v>#REF!</v>
      </c>
      <c r="AI29" s="19" t="e">
        <f t="shared" si="7"/>
        <v>#REF!</v>
      </c>
      <c r="AJ29" s="19" t="e">
        <f t="shared" si="7"/>
        <v>#REF!</v>
      </c>
      <c r="AK29" s="19" t="e">
        <f t="shared" si="7"/>
        <v>#REF!</v>
      </c>
      <c r="AL29" s="19" t="e">
        <f t="shared" si="7"/>
        <v>#REF!</v>
      </c>
      <c r="AM29" s="19" t="e">
        <f t="shared" si="7"/>
        <v>#REF!</v>
      </c>
      <c r="AN29" s="19" t="e">
        <f t="shared" si="7"/>
        <v>#REF!</v>
      </c>
      <c r="AO29" s="19" t="e">
        <f t="shared" si="7"/>
        <v>#REF!</v>
      </c>
      <c r="AP29" s="19" t="e">
        <f t="shared" si="7"/>
        <v>#REF!</v>
      </c>
      <c r="AQ29" s="19" t="e">
        <f t="shared" si="7"/>
        <v>#REF!</v>
      </c>
      <c r="AR29" s="19" t="e">
        <f t="shared" si="7"/>
        <v>#REF!</v>
      </c>
      <c r="AS29" s="19" t="e">
        <f t="shared" si="7"/>
        <v>#REF!</v>
      </c>
      <c r="AT29" s="19" t="e">
        <f t="shared" si="7"/>
        <v>#REF!</v>
      </c>
      <c r="AU29" s="19" t="e">
        <f t="shared" si="7"/>
        <v>#REF!</v>
      </c>
      <c r="AV29" s="19" t="e">
        <f t="shared" si="7"/>
        <v>#REF!</v>
      </c>
      <c r="AW29" s="19" t="e">
        <f t="shared" si="7"/>
        <v>#REF!</v>
      </c>
      <c r="AX29" s="19" t="e">
        <f t="shared" si="7"/>
        <v>#REF!</v>
      </c>
      <c r="AY29" s="19" t="e">
        <f t="shared" si="7"/>
        <v>#REF!</v>
      </c>
      <c r="AZ29" s="19" t="e">
        <f t="shared" si="7"/>
        <v>#REF!</v>
      </c>
      <c r="BA29" s="19" t="e">
        <f t="shared" si="7"/>
        <v>#REF!</v>
      </c>
      <c r="BB29" s="19" t="e">
        <f t="shared" si="7"/>
        <v>#REF!</v>
      </c>
      <c r="BC29" s="19" t="e">
        <f t="shared" si="7"/>
        <v>#REF!</v>
      </c>
      <c r="BD29" s="19" t="e">
        <f t="shared" si="7"/>
        <v>#REF!</v>
      </c>
      <c r="BE29" s="19" t="e">
        <f t="shared" si="7"/>
        <v>#REF!</v>
      </c>
      <c r="BF29" s="19" t="e">
        <f t="shared" si="7"/>
        <v>#REF!</v>
      </c>
      <c r="BG29" s="19" t="e">
        <f t="shared" si="7"/>
        <v>#REF!</v>
      </c>
      <c r="BH29" s="19" t="e">
        <f t="shared" ref="BH29" si="8">100*(((BH22/$AL$22)^$AX$6)*((BH23/$AL$23)^$AX$14))</f>
        <v>#REF!</v>
      </c>
    </row>
    <row r="30" spans="1:60" ht="13.5" customHeight="1" x14ac:dyDescent="0.25">
      <c r="A30" s="9"/>
      <c r="B30" s="20" t="s">
        <v>16</v>
      </c>
      <c r="C30" s="140" t="e">
        <f>100*C26^$AX$6*C27^$AX$14</f>
        <v>#REF!</v>
      </c>
      <c r="D30" s="140" t="e">
        <f t="shared" ref="D30:BG30" si="9">100*D26^$AX$6*D27^$AX$14</f>
        <v>#REF!</v>
      </c>
      <c r="E30" s="140" t="e">
        <f t="shared" si="9"/>
        <v>#REF!</v>
      </c>
      <c r="F30" s="140" t="e">
        <f t="shared" si="9"/>
        <v>#REF!</v>
      </c>
      <c r="G30" s="140" t="e">
        <f t="shared" si="9"/>
        <v>#REF!</v>
      </c>
      <c r="H30" s="140" t="e">
        <f t="shared" si="9"/>
        <v>#REF!</v>
      </c>
      <c r="I30" s="140" t="e">
        <f t="shared" si="9"/>
        <v>#REF!</v>
      </c>
      <c r="J30" s="140" t="e">
        <f t="shared" si="9"/>
        <v>#REF!</v>
      </c>
      <c r="K30" s="140" t="e">
        <f t="shared" si="9"/>
        <v>#REF!</v>
      </c>
      <c r="L30" s="140" t="e">
        <f t="shared" si="9"/>
        <v>#REF!</v>
      </c>
      <c r="M30" s="140" t="e">
        <f t="shared" si="9"/>
        <v>#REF!</v>
      </c>
      <c r="N30" s="140" t="e">
        <f t="shared" si="9"/>
        <v>#REF!</v>
      </c>
      <c r="O30" s="140" t="e">
        <f t="shared" si="9"/>
        <v>#REF!</v>
      </c>
      <c r="P30" s="140" t="e">
        <f t="shared" si="9"/>
        <v>#REF!</v>
      </c>
      <c r="Q30" s="140" t="e">
        <f t="shared" si="9"/>
        <v>#REF!</v>
      </c>
      <c r="R30" s="140" t="e">
        <f t="shared" si="9"/>
        <v>#REF!</v>
      </c>
      <c r="S30" s="140" t="e">
        <f t="shared" si="9"/>
        <v>#REF!</v>
      </c>
      <c r="T30" s="140" t="e">
        <f t="shared" si="9"/>
        <v>#REF!</v>
      </c>
      <c r="U30" s="140" t="e">
        <f t="shared" si="9"/>
        <v>#REF!</v>
      </c>
      <c r="V30" s="140" t="e">
        <f t="shared" si="9"/>
        <v>#REF!</v>
      </c>
      <c r="W30" s="140" t="e">
        <f t="shared" si="9"/>
        <v>#REF!</v>
      </c>
      <c r="X30" s="140" t="e">
        <f t="shared" si="9"/>
        <v>#REF!</v>
      </c>
      <c r="Y30" s="140" t="e">
        <f t="shared" si="9"/>
        <v>#REF!</v>
      </c>
      <c r="Z30" s="140" t="e">
        <f t="shared" si="9"/>
        <v>#REF!</v>
      </c>
      <c r="AA30" s="140" t="e">
        <f t="shared" si="9"/>
        <v>#REF!</v>
      </c>
      <c r="AB30" s="140" t="e">
        <f t="shared" si="9"/>
        <v>#REF!</v>
      </c>
      <c r="AC30" s="140" t="e">
        <f t="shared" si="9"/>
        <v>#REF!</v>
      </c>
      <c r="AD30" s="140" t="e">
        <f t="shared" si="9"/>
        <v>#REF!</v>
      </c>
      <c r="AE30" s="140" t="e">
        <f t="shared" si="9"/>
        <v>#REF!</v>
      </c>
      <c r="AF30" s="140" t="e">
        <f t="shared" si="9"/>
        <v>#REF!</v>
      </c>
      <c r="AG30" s="140" t="e">
        <f t="shared" si="9"/>
        <v>#REF!</v>
      </c>
      <c r="AH30" s="140" t="e">
        <f t="shared" si="9"/>
        <v>#REF!</v>
      </c>
      <c r="AI30" s="140" t="e">
        <f t="shared" si="9"/>
        <v>#REF!</v>
      </c>
      <c r="AJ30" s="140" t="e">
        <f t="shared" si="9"/>
        <v>#REF!</v>
      </c>
      <c r="AK30" s="140" t="e">
        <f t="shared" si="9"/>
        <v>#REF!</v>
      </c>
      <c r="AL30" s="140" t="e">
        <f t="shared" si="9"/>
        <v>#REF!</v>
      </c>
      <c r="AM30" s="140" t="e">
        <f t="shared" si="9"/>
        <v>#REF!</v>
      </c>
      <c r="AN30" s="140" t="e">
        <f t="shared" si="9"/>
        <v>#REF!</v>
      </c>
      <c r="AO30" s="140" t="e">
        <f t="shared" si="9"/>
        <v>#REF!</v>
      </c>
      <c r="AP30" s="140" t="e">
        <f t="shared" si="9"/>
        <v>#REF!</v>
      </c>
      <c r="AQ30" s="140" t="e">
        <f t="shared" si="9"/>
        <v>#REF!</v>
      </c>
      <c r="AR30" s="140" t="e">
        <f t="shared" si="9"/>
        <v>#REF!</v>
      </c>
      <c r="AS30" s="140" t="e">
        <f t="shared" si="9"/>
        <v>#REF!</v>
      </c>
      <c r="AT30" s="140" t="e">
        <f t="shared" si="9"/>
        <v>#REF!</v>
      </c>
      <c r="AU30" s="140" t="e">
        <f t="shared" si="9"/>
        <v>#REF!</v>
      </c>
      <c r="AV30" s="140" t="e">
        <f t="shared" si="9"/>
        <v>#REF!</v>
      </c>
      <c r="AW30" s="140" t="e">
        <f t="shared" si="9"/>
        <v>#REF!</v>
      </c>
      <c r="AX30" s="140" t="e">
        <f t="shared" si="9"/>
        <v>#REF!</v>
      </c>
      <c r="AY30" s="140" t="e">
        <f t="shared" si="9"/>
        <v>#REF!</v>
      </c>
      <c r="AZ30" s="140" t="e">
        <f t="shared" si="9"/>
        <v>#REF!</v>
      </c>
      <c r="BA30" s="140" t="e">
        <f t="shared" si="9"/>
        <v>#REF!</v>
      </c>
      <c r="BB30" s="140" t="e">
        <f t="shared" si="9"/>
        <v>#REF!</v>
      </c>
      <c r="BC30" s="140" t="e">
        <f t="shared" si="9"/>
        <v>#REF!</v>
      </c>
      <c r="BD30" s="140" t="e">
        <f t="shared" si="9"/>
        <v>#REF!</v>
      </c>
      <c r="BE30" s="140" t="e">
        <f t="shared" si="9"/>
        <v>#REF!</v>
      </c>
      <c r="BF30" s="140" t="e">
        <f t="shared" si="9"/>
        <v>#REF!</v>
      </c>
      <c r="BG30" s="140" t="e">
        <f t="shared" si="9"/>
        <v>#REF!</v>
      </c>
      <c r="BH30" s="140" t="e">
        <f t="shared" ref="BH30" si="10">100*BH26^$AX$6*BH27^$AX$14</f>
        <v>#REF!</v>
      </c>
    </row>
    <row r="31" spans="1:60" ht="13.5" customHeight="1" x14ac:dyDescent="0.3">
      <c r="B31" s="8" t="s">
        <v>10</v>
      </c>
      <c r="C31" s="141"/>
      <c r="D31" s="141" t="e">
        <f t="shared" ref="D31:N31" si="11">((D30/C30)-1)*100</f>
        <v>#REF!</v>
      </c>
      <c r="E31" s="141" t="e">
        <f t="shared" si="11"/>
        <v>#REF!</v>
      </c>
      <c r="F31" s="141" t="e">
        <f t="shared" si="11"/>
        <v>#REF!</v>
      </c>
      <c r="G31" s="141" t="e">
        <f t="shared" si="11"/>
        <v>#REF!</v>
      </c>
      <c r="H31" s="141" t="e">
        <f t="shared" si="11"/>
        <v>#REF!</v>
      </c>
      <c r="I31" s="141" t="e">
        <f t="shared" si="11"/>
        <v>#REF!</v>
      </c>
      <c r="J31" s="141" t="e">
        <f t="shared" si="11"/>
        <v>#REF!</v>
      </c>
      <c r="K31" s="141" t="e">
        <f t="shared" si="11"/>
        <v>#REF!</v>
      </c>
      <c r="L31" s="141" t="e">
        <f t="shared" si="11"/>
        <v>#REF!</v>
      </c>
      <c r="M31" s="141" t="e">
        <f t="shared" si="11"/>
        <v>#REF!</v>
      </c>
      <c r="N31" s="141" t="e">
        <f t="shared" si="11"/>
        <v>#REF!</v>
      </c>
      <c r="O31" s="141" t="e">
        <f>((O30/N30)-1)*100</f>
        <v>#REF!</v>
      </c>
      <c r="P31" s="141" t="e">
        <f>((P30/O30)-1)*100</f>
        <v>#REF!</v>
      </c>
      <c r="Q31" s="141" t="e">
        <f t="shared" ref="Q31:BF31" si="12">((Q30/P30)-1)*100</f>
        <v>#REF!</v>
      </c>
      <c r="R31" s="141" t="e">
        <f t="shared" si="12"/>
        <v>#REF!</v>
      </c>
      <c r="S31" s="141" t="e">
        <f t="shared" si="12"/>
        <v>#REF!</v>
      </c>
      <c r="T31" s="141" t="e">
        <f t="shared" si="12"/>
        <v>#REF!</v>
      </c>
      <c r="U31" s="141" t="e">
        <f t="shared" si="12"/>
        <v>#REF!</v>
      </c>
      <c r="V31" s="141" t="e">
        <f t="shared" si="12"/>
        <v>#REF!</v>
      </c>
      <c r="W31" s="141" t="e">
        <f t="shared" si="12"/>
        <v>#REF!</v>
      </c>
      <c r="X31" s="141" t="e">
        <f t="shared" si="12"/>
        <v>#REF!</v>
      </c>
      <c r="Y31" s="141" t="e">
        <f t="shared" si="12"/>
        <v>#REF!</v>
      </c>
      <c r="Z31" s="141" t="e">
        <f t="shared" si="12"/>
        <v>#REF!</v>
      </c>
      <c r="AA31" s="141" t="e">
        <f>((AA30/Z30)-1)*100</f>
        <v>#REF!</v>
      </c>
      <c r="AB31" s="141" t="e">
        <f t="shared" si="12"/>
        <v>#REF!</v>
      </c>
      <c r="AC31" s="141" t="e">
        <f t="shared" si="12"/>
        <v>#REF!</v>
      </c>
      <c r="AD31" s="141" t="e">
        <f t="shared" si="12"/>
        <v>#REF!</v>
      </c>
      <c r="AE31" s="141" t="e">
        <f t="shared" si="12"/>
        <v>#REF!</v>
      </c>
      <c r="AF31" s="141" t="e">
        <f t="shared" si="12"/>
        <v>#REF!</v>
      </c>
      <c r="AG31" s="141" t="e">
        <f t="shared" si="12"/>
        <v>#REF!</v>
      </c>
      <c r="AH31" s="141" t="e">
        <f t="shared" si="12"/>
        <v>#REF!</v>
      </c>
      <c r="AI31" s="141" t="e">
        <f t="shared" si="12"/>
        <v>#REF!</v>
      </c>
      <c r="AJ31" s="141" t="e">
        <f t="shared" si="12"/>
        <v>#REF!</v>
      </c>
      <c r="AK31" s="141" t="e">
        <f t="shared" si="12"/>
        <v>#REF!</v>
      </c>
      <c r="AL31" s="141" t="e">
        <f t="shared" si="12"/>
        <v>#REF!</v>
      </c>
      <c r="AM31" s="141" t="e">
        <f>((AM30/AL30)-1)*100</f>
        <v>#REF!</v>
      </c>
      <c r="AN31" s="141" t="e">
        <f>((AN30/AL30)-1)*100</f>
        <v>#REF!</v>
      </c>
      <c r="AO31" s="141" t="e">
        <f t="shared" si="12"/>
        <v>#REF!</v>
      </c>
      <c r="AP31" s="141" t="e">
        <f t="shared" si="12"/>
        <v>#REF!</v>
      </c>
      <c r="AQ31" s="141" t="e">
        <f t="shared" si="12"/>
        <v>#REF!</v>
      </c>
      <c r="AR31" s="141" t="e">
        <f t="shared" si="12"/>
        <v>#REF!</v>
      </c>
      <c r="AS31" s="141" t="e">
        <f t="shared" si="12"/>
        <v>#REF!</v>
      </c>
      <c r="AT31" s="141" t="e">
        <f t="shared" si="12"/>
        <v>#REF!</v>
      </c>
      <c r="AU31" s="141" t="e">
        <f t="shared" si="12"/>
        <v>#REF!</v>
      </c>
      <c r="AV31" s="141" t="e">
        <f t="shared" si="12"/>
        <v>#REF!</v>
      </c>
      <c r="AW31" s="141" t="e">
        <f t="shared" si="12"/>
        <v>#REF!</v>
      </c>
      <c r="AX31" s="141" t="e">
        <f t="shared" si="12"/>
        <v>#REF!</v>
      </c>
      <c r="AY31" s="141" t="e">
        <f t="shared" si="12"/>
        <v>#REF!</v>
      </c>
      <c r="AZ31" s="141" t="e">
        <f t="shared" si="12"/>
        <v>#REF!</v>
      </c>
      <c r="BA31" s="141" t="e">
        <f t="shared" si="12"/>
        <v>#REF!</v>
      </c>
      <c r="BB31" s="141" t="e">
        <f t="shared" si="12"/>
        <v>#REF!</v>
      </c>
      <c r="BC31" s="141" t="e">
        <f t="shared" si="12"/>
        <v>#REF!</v>
      </c>
      <c r="BD31" s="141" t="e">
        <f t="shared" si="12"/>
        <v>#REF!</v>
      </c>
      <c r="BE31" s="141" t="e">
        <f t="shared" si="12"/>
        <v>#REF!</v>
      </c>
      <c r="BF31" s="141" t="e">
        <f t="shared" si="12"/>
        <v>#REF!</v>
      </c>
      <c r="BG31" s="141" t="e">
        <f>((BG30/BF30)-1)*100</f>
        <v>#REF!</v>
      </c>
      <c r="BH31" s="141" t="e">
        <f>((BH30/BG30)-1)*100</f>
        <v>#REF!</v>
      </c>
    </row>
    <row r="32" spans="1:60" ht="13.5" customHeight="1" x14ac:dyDescent="0.3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60" ht="13.5" customHeight="1" x14ac:dyDescent="0.25">
      <c r="A33" s="12" t="s">
        <v>42</v>
      </c>
    </row>
    <row r="34" spans="1:60" ht="13.5" customHeight="1" x14ac:dyDescent="0.3">
      <c r="B34" s="8" t="s">
        <v>11</v>
      </c>
      <c r="C34" s="18" t="e">
        <f>#REF!</f>
        <v>#REF!</v>
      </c>
      <c r="D34" s="18" t="e">
        <f>#REF!</f>
        <v>#REF!</v>
      </c>
      <c r="E34" s="18" t="e">
        <f>#REF!</f>
        <v>#REF!</v>
      </c>
      <c r="F34" s="18" t="e">
        <f>#REF!</f>
        <v>#REF!</v>
      </c>
      <c r="G34" s="18" t="e">
        <f>#REF!</f>
        <v>#REF!</v>
      </c>
      <c r="H34" s="18" t="e">
        <f>#REF!</f>
        <v>#REF!</v>
      </c>
      <c r="I34" s="18" t="e">
        <f>#REF!</f>
        <v>#REF!</v>
      </c>
      <c r="J34" s="18" t="e">
        <f>#REF!</f>
        <v>#REF!</v>
      </c>
      <c r="K34" s="18" t="e">
        <f>#REF!</f>
        <v>#REF!</v>
      </c>
      <c r="L34" s="18" t="e">
        <f>#REF!</f>
        <v>#REF!</v>
      </c>
      <c r="M34" s="18" t="e">
        <f>#REF!</f>
        <v>#REF!</v>
      </c>
      <c r="N34" s="18" t="e">
        <f>#REF!</f>
        <v>#REF!</v>
      </c>
      <c r="O34" s="18" t="e">
        <f>#REF!</f>
        <v>#REF!</v>
      </c>
      <c r="P34" s="18" t="e">
        <f>#REF!</f>
        <v>#REF!</v>
      </c>
      <c r="Q34" s="18" t="e">
        <f>#REF!</f>
        <v>#REF!</v>
      </c>
      <c r="R34" s="18" t="e">
        <f>#REF!</f>
        <v>#REF!</v>
      </c>
      <c r="S34" s="18" t="e">
        <f>#REF!</f>
        <v>#REF!</v>
      </c>
      <c r="T34" s="18" t="e">
        <f>#REF!</f>
        <v>#REF!</v>
      </c>
      <c r="U34" s="18" t="e">
        <f>#REF!</f>
        <v>#REF!</v>
      </c>
      <c r="V34" s="18" t="e">
        <f>#REF!</f>
        <v>#REF!</v>
      </c>
      <c r="W34" s="18" t="e">
        <f>#REF!</f>
        <v>#REF!</v>
      </c>
      <c r="X34" s="18" t="e">
        <f>#REF!</f>
        <v>#REF!</v>
      </c>
      <c r="Y34" s="18" t="e">
        <f>#REF!</f>
        <v>#REF!</v>
      </c>
      <c r="Z34" s="18" t="e">
        <f>#REF!</f>
        <v>#REF!</v>
      </c>
      <c r="AA34" s="18" t="e">
        <f>#REF!</f>
        <v>#REF!</v>
      </c>
      <c r="AB34" s="18" t="e">
        <f>#REF!</f>
        <v>#REF!</v>
      </c>
      <c r="AC34" s="18" t="e">
        <f>#REF!</f>
        <v>#REF!</v>
      </c>
      <c r="AD34" s="18" t="e">
        <f>#REF!</f>
        <v>#REF!</v>
      </c>
      <c r="AE34" s="18" t="e">
        <f>#REF!</f>
        <v>#REF!</v>
      </c>
      <c r="AF34" s="18" t="e">
        <f>#REF!</f>
        <v>#REF!</v>
      </c>
      <c r="AG34" s="18" t="e">
        <f>#REF!</f>
        <v>#REF!</v>
      </c>
      <c r="AH34" s="18" t="e">
        <f>#REF!</f>
        <v>#REF!</v>
      </c>
      <c r="AI34" s="18" t="e">
        <f>#REF!</f>
        <v>#REF!</v>
      </c>
      <c r="AJ34" s="18" t="e">
        <f>#REF!</f>
        <v>#REF!</v>
      </c>
      <c r="AK34" s="18" t="e">
        <f>#REF!</f>
        <v>#REF!</v>
      </c>
      <c r="AL34" s="18" t="e">
        <f>#REF!</f>
        <v>#REF!</v>
      </c>
      <c r="AM34" s="18" t="e">
        <f>#REF!</f>
        <v>#REF!</v>
      </c>
      <c r="AN34" s="18" t="e">
        <f>#REF!</f>
        <v>#REF!</v>
      </c>
      <c r="AO34" s="18" t="e">
        <f>#REF!</f>
        <v>#REF!</v>
      </c>
      <c r="AP34" s="18" t="e">
        <f>#REF!</f>
        <v>#REF!</v>
      </c>
      <c r="AQ34" s="18" t="e">
        <f>#REF!</f>
        <v>#REF!</v>
      </c>
      <c r="AR34" s="18" t="e">
        <f>#REF!</f>
        <v>#REF!</v>
      </c>
      <c r="AS34" s="18" t="e">
        <f>#REF!</f>
        <v>#REF!</v>
      </c>
      <c r="AT34" s="18" t="e">
        <f>#REF!</f>
        <v>#REF!</v>
      </c>
      <c r="AU34" s="18" t="e">
        <f>#REF!</f>
        <v>#REF!</v>
      </c>
      <c r="AV34" s="18" t="e">
        <f>#REF!</f>
        <v>#REF!</v>
      </c>
      <c r="AW34" s="18" t="e">
        <f>#REF!</f>
        <v>#REF!</v>
      </c>
      <c r="AX34" s="18" t="e">
        <f>#REF!</f>
        <v>#REF!</v>
      </c>
      <c r="AY34" s="18" t="e">
        <f>#REF!</f>
        <v>#REF!</v>
      </c>
      <c r="AZ34" s="18" t="e">
        <f>#REF!</f>
        <v>#REF!</v>
      </c>
      <c r="BA34" s="18" t="e">
        <f>#REF!</f>
        <v>#REF!</v>
      </c>
      <c r="BB34" s="18" t="e">
        <f>#REF!</f>
        <v>#REF!</v>
      </c>
      <c r="BC34" s="18" t="e">
        <f>#REF!</f>
        <v>#REF!</v>
      </c>
      <c r="BD34" s="18" t="e">
        <f>#REF!</f>
        <v>#REF!</v>
      </c>
      <c r="BE34" s="18" t="e">
        <f>#REF!</f>
        <v>#REF!</v>
      </c>
      <c r="BF34" s="18" t="e">
        <f>#REF!</f>
        <v>#REF!</v>
      </c>
      <c r="BG34" s="18" t="e">
        <f>#REF!</f>
        <v>#REF!</v>
      </c>
      <c r="BH34" s="18" t="e">
        <f>#REF!</f>
        <v>#REF!</v>
      </c>
    </row>
    <row r="35" spans="1:60" ht="13.5" customHeight="1" x14ac:dyDescent="0.3">
      <c r="B35" s="8" t="s">
        <v>4</v>
      </c>
      <c r="C35" s="18" t="e">
        <f>#REF!</f>
        <v>#REF!</v>
      </c>
      <c r="D35" s="18" t="e">
        <f>#REF!</f>
        <v>#REF!</v>
      </c>
      <c r="E35" s="18" t="e">
        <f>#REF!</f>
        <v>#REF!</v>
      </c>
      <c r="F35" s="18" t="e">
        <f>#REF!</f>
        <v>#REF!</v>
      </c>
      <c r="G35" s="18" t="e">
        <f>#REF!</f>
        <v>#REF!</v>
      </c>
      <c r="H35" s="18" t="e">
        <f>#REF!</f>
        <v>#REF!</v>
      </c>
      <c r="I35" s="18" t="e">
        <f>#REF!</f>
        <v>#REF!</v>
      </c>
      <c r="J35" s="18" t="e">
        <f>#REF!</f>
        <v>#REF!</v>
      </c>
      <c r="K35" s="18" t="e">
        <f>#REF!</f>
        <v>#REF!</v>
      </c>
      <c r="L35" s="18" t="e">
        <f>#REF!</f>
        <v>#REF!</v>
      </c>
      <c r="M35" s="18" t="e">
        <f>#REF!</f>
        <v>#REF!</v>
      </c>
      <c r="N35" s="18" t="e">
        <f>#REF!</f>
        <v>#REF!</v>
      </c>
      <c r="O35" s="18" t="e">
        <f>#REF!</f>
        <v>#REF!</v>
      </c>
      <c r="P35" s="18" t="e">
        <f>#REF!</f>
        <v>#REF!</v>
      </c>
      <c r="Q35" s="18" t="e">
        <f>#REF!</f>
        <v>#REF!</v>
      </c>
      <c r="R35" s="18" t="e">
        <f>#REF!</f>
        <v>#REF!</v>
      </c>
      <c r="S35" s="18" t="e">
        <f>#REF!</f>
        <v>#REF!</v>
      </c>
      <c r="T35" s="18" t="e">
        <f>#REF!</f>
        <v>#REF!</v>
      </c>
      <c r="U35" s="18" t="e">
        <f>#REF!</f>
        <v>#REF!</v>
      </c>
      <c r="V35" s="18" t="e">
        <f>#REF!</f>
        <v>#REF!</v>
      </c>
      <c r="W35" s="18" t="e">
        <f>#REF!</f>
        <v>#REF!</v>
      </c>
      <c r="X35" s="18" t="e">
        <f>#REF!</f>
        <v>#REF!</v>
      </c>
      <c r="Y35" s="18" t="e">
        <f>#REF!</f>
        <v>#REF!</v>
      </c>
      <c r="Z35" s="18" t="e">
        <f>#REF!</f>
        <v>#REF!</v>
      </c>
      <c r="AA35" s="18" t="e">
        <f>#REF!</f>
        <v>#REF!</v>
      </c>
      <c r="AB35" s="18" t="e">
        <f>#REF!</f>
        <v>#REF!</v>
      </c>
      <c r="AC35" s="18" t="e">
        <f>#REF!</f>
        <v>#REF!</v>
      </c>
      <c r="AD35" s="18" t="e">
        <f>#REF!</f>
        <v>#REF!</v>
      </c>
      <c r="AE35" s="18" t="e">
        <f>#REF!</f>
        <v>#REF!</v>
      </c>
      <c r="AF35" s="18" t="e">
        <f>#REF!</f>
        <v>#REF!</v>
      </c>
      <c r="AG35" s="18" t="e">
        <f>#REF!</f>
        <v>#REF!</v>
      </c>
      <c r="AH35" s="18" t="e">
        <f>#REF!</f>
        <v>#REF!</v>
      </c>
      <c r="AI35" s="18" t="e">
        <f>#REF!</f>
        <v>#REF!</v>
      </c>
      <c r="AJ35" s="18" t="e">
        <f>#REF!</f>
        <v>#REF!</v>
      </c>
      <c r="AK35" s="18" t="e">
        <f>#REF!</f>
        <v>#REF!</v>
      </c>
      <c r="AL35" s="18" t="e">
        <f>#REF!</f>
        <v>#REF!</v>
      </c>
      <c r="AM35" s="18" t="e">
        <f>#REF!</f>
        <v>#REF!</v>
      </c>
      <c r="AN35" s="18" t="e">
        <f>#REF!</f>
        <v>#REF!</v>
      </c>
      <c r="AO35" s="18" t="e">
        <f>#REF!</f>
        <v>#REF!</v>
      </c>
      <c r="AP35" s="18" t="e">
        <f>#REF!</f>
        <v>#REF!</v>
      </c>
      <c r="AQ35" s="18" t="e">
        <f>#REF!</f>
        <v>#REF!</v>
      </c>
      <c r="AR35" s="18" t="e">
        <f>#REF!</f>
        <v>#REF!</v>
      </c>
      <c r="AS35" s="18" t="e">
        <f>#REF!</f>
        <v>#REF!</v>
      </c>
      <c r="AT35" s="18" t="e">
        <f>#REF!</f>
        <v>#REF!</v>
      </c>
      <c r="AU35" s="18" t="e">
        <f>#REF!</f>
        <v>#REF!</v>
      </c>
      <c r="AV35" s="18" t="e">
        <f>#REF!</f>
        <v>#REF!</v>
      </c>
      <c r="AW35" s="18" t="e">
        <f>#REF!</f>
        <v>#REF!</v>
      </c>
      <c r="AX35" s="18" t="e">
        <f>#REF!</f>
        <v>#REF!</v>
      </c>
      <c r="AY35" s="18" t="e">
        <f>#REF!</f>
        <v>#REF!</v>
      </c>
      <c r="AZ35" s="18" t="e">
        <f>#REF!</f>
        <v>#REF!</v>
      </c>
      <c r="BA35" s="18" t="e">
        <f>#REF!</f>
        <v>#REF!</v>
      </c>
      <c r="BB35" s="18" t="e">
        <f>#REF!</f>
        <v>#REF!</v>
      </c>
      <c r="BC35" s="18" t="e">
        <f>#REF!</f>
        <v>#REF!</v>
      </c>
      <c r="BD35" s="18" t="e">
        <f>#REF!</f>
        <v>#REF!</v>
      </c>
      <c r="BE35" s="18" t="e">
        <f>#REF!</f>
        <v>#REF!</v>
      </c>
      <c r="BF35" s="18" t="e">
        <f>#REF!</f>
        <v>#REF!</v>
      </c>
      <c r="BG35" s="18" t="e">
        <f>#REF!</f>
        <v>#REF!</v>
      </c>
      <c r="BH35" s="18" t="e">
        <f>#REF!</f>
        <v>#REF!</v>
      </c>
    </row>
    <row r="36" spans="1:60" ht="13.5" customHeight="1" x14ac:dyDescent="0.3">
      <c r="B36" s="8" t="s">
        <v>5</v>
      </c>
      <c r="C36" s="18" t="e">
        <f>#REF!</f>
        <v>#REF!</v>
      </c>
      <c r="D36" s="18" t="e">
        <f>#REF!</f>
        <v>#REF!</v>
      </c>
      <c r="E36" s="18" t="e">
        <f>#REF!</f>
        <v>#REF!</v>
      </c>
      <c r="F36" s="18" t="e">
        <f>#REF!</f>
        <v>#REF!</v>
      </c>
      <c r="G36" s="18" t="e">
        <f>#REF!</f>
        <v>#REF!</v>
      </c>
      <c r="H36" s="18" t="e">
        <f>#REF!</f>
        <v>#REF!</v>
      </c>
      <c r="I36" s="18" t="e">
        <f>#REF!</f>
        <v>#REF!</v>
      </c>
      <c r="J36" s="18" t="e">
        <f>#REF!</f>
        <v>#REF!</v>
      </c>
      <c r="K36" s="18" t="e">
        <f>#REF!</f>
        <v>#REF!</v>
      </c>
      <c r="L36" s="18" t="e">
        <f>#REF!</f>
        <v>#REF!</v>
      </c>
      <c r="M36" s="18" t="e">
        <f>#REF!</f>
        <v>#REF!</v>
      </c>
      <c r="N36" s="18" t="e">
        <f>#REF!</f>
        <v>#REF!</v>
      </c>
      <c r="O36" s="18" t="e">
        <f>#REF!</f>
        <v>#REF!</v>
      </c>
      <c r="P36" s="18" t="e">
        <f>#REF!</f>
        <v>#REF!</v>
      </c>
      <c r="Q36" s="18" t="e">
        <f>#REF!</f>
        <v>#REF!</v>
      </c>
      <c r="R36" s="18" t="e">
        <f>#REF!</f>
        <v>#REF!</v>
      </c>
      <c r="S36" s="18" t="e">
        <f>#REF!</f>
        <v>#REF!</v>
      </c>
      <c r="T36" s="18" t="e">
        <f>#REF!</f>
        <v>#REF!</v>
      </c>
      <c r="U36" s="18" t="e">
        <f>#REF!</f>
        <v>#REF!</v>
      </c>
      <c r="V36" s="18" t="e">
        <f>#REF!</f>
        <v>#REF!</v>
      </c>
      <c r="W36" s="18" t="e">
        <f>#REF!</f>
        <v>#REF!</v>
      </c>
      <c r="X36" s="18" t="e">
        <f>#REF!</f>
        <v>#REF!</v>
      </c>
      <c r="Y36" s="18" t="e">
        <f>#REF!</f>
        <v>#REF!</v>
      </c>
      <c r="Z36" s="18" t="e">
        <f>#REF!</f>
        <v>#REF!</v>
      </c>
      <c r="AA36" s="18" t="e">
        <f>#REF!</f>
        <v>#REF!</v>
      </c>
      <c r="AB36" s="18" t="e">
        <f>#REF!</f>
        <v>#REF!</v>
      </c>
      <c r="AC36" s="18" t="e">
        <f>#REF!</f>
        <v>#REF!</v>
      </c>
      <c r="AD36" s="18" t="e">
        <f>#REF!</f>
        <v>#REF!</v>
      </c>
      <c r="AE36" s="18" t="e">
        <f>#REF!</f>
        <v>#REF!</v>
      </c>
      <c r="AF36" s="18" t="e">
        <f>#REF!</f>
        <v>#REF!</v>
      </c>
      <c r="AG36" s="18" t="e">
        <f>#REF!</f>
        <v>#REF!</v>
      </c>
      <c r="AH36" s="18" t="e">
        <f>#REF!</f>
        <v>#REF!</v>
      </c>
      <c r="AI36" s="18" t="e">
        <f>#REF!</f>
        <v>#REF!</v>
      </c>
      <c r="AJ36" s="18" t="e">
        <f>#REF!</f>
        <v>#REF!</v>
      </c>
      <c r="AK36" s="18" t="e">
        <f>#REF!</f>
        <v>#REF!</v>
      </c>
      <c r="AL36" s="18" t="e">
        <f>#REF!</f>
        <v>#REF!</v>
      </c>
      <c r="AM36" s="18" t="e">
        <f>#REF!</f>
        <v>#REF!</v>
      </c>
      <c r="AN36" s="18" t="e">
        <f>#REF!</f>
        <v>#REF!</v>
      </c>
      <c r="AO36" s="18" t="e">
        <f>#REF!</f>
        <v>#REF!</v>
      </c>
      <c r="AP36" s="18" t="e">
        <f>#REF!</f>
        <v>#REF!</v>
      </c>
      <c r="AQ36" s="18" t="e">
        <f>#REF!</f>
        <v>#REF!</v>
      </c>
      <c r="AR36" s="18" t="e">
        <f>#REF!</f>
        <v>#REF!</v>
      </c>
      <c r="AS36" s="18" t="e">
        <f>#REF!</f>
        <v>#REF!</v>
      </c>
      <c r="AT36" s="18" t="e">
        <f>#REF!</f>
        <v>#REF!</v>
      </c>
      <c r="AU36" s="18" t="e">
        <f>#REF!</f>
        <v>#REF!</v>
      </c>
      <c r="AV36" s="18" t="e">
        <f>#REF!</f>
        <v>#REF!</v>
      </c>
      <c r="AW36" s="18" t="e">
        <f>#REF!</f>
        <v>#REF!</v>
      </c>
      <c r="AX36" s="18" t="e">
        <f>#REF!</f>
        <v>#REF!</v>
      </c>
      <c r="AY36" s="18" t="e">
        <f>#REF!</f>
        <v>#REF!</v>
      </c>
      <c r="AZ36" s="18" t="e">
        <f>#REF!</f>
        <v>#REF!</v>
      </c>
      <c r="BA36" s="18" t="e">
        <f>#REF!</f>
        <v>#REF!</v>
      </c>
      <c r="BB36" s="18" t="e">
        <f>#REF!</f>
        <v>#REF!</v>
      </c>
      <c r="BC36" s="18" t="e">
        <f>#REF!</f>
        <v>#REF!</v>
      </c>
      <c r="BD36" s="18" t="e">
        <f>#REF!</f>
        <v>#REF!</v>
      </c>
      <c r="BE36" s="18" t="e">
        <f>#REF!</f>
        <v>#REF!</v>
      </c>
      <c r="BF36" s="18" t="e">
        <f>#REF!</f>
        <v>#REF!</v>
      </c>
      <c r="BG36" s="18" t="e">
        <f>#REF!</f>
        <v>#REF!</v>
      </c>
      <c r="BH36" s="18" t="e">
        <f>#REF!</f>
        <v>#REF!</v>
      </c>
    </row>
    <row r="37" spans="1:60" ht="13.5" customHeight="1" x14ac:dyDescent="0.3">
      <c r="B37" s="8" t="s">
        <v>6</v>
      </c>
      <c r="C37" s="19" t="e">
        <f>#REF!</f>
        <v>#REF!</v>
      </c>
      <c r="D37" s="19" t="e">
        <f>#REF!</f>
        <v>#REF!</v>
      </c>
      <c r="E37" s="19" t="e">
        <f>#REF!</f>
        <v>#REF!</v>
      </c>
      <c r="F37" s="19" t="e">
        <f>#REF!</f>
        <v>#REF!</v>
      </c>
      <c r="G37" s="19" t="e">
        <f>#REF!</f>
        <v>#REF!</v>
      </c>
      <c r="H37" s="19" t="e">
        <f>#REF!</f>
        <v>#REF!</v>
      </c>
      <c r="I37" s="19" t="e">
        <f>#REF!</f>
        <v>#REF!</v>
      </c>
      <c r="J37" s="19" t="e">
        <f>#REF!</f>
        <v>#REF!</v>
      </c>
      <c r="K37" s="19" t="e">
        <f>#REF!</f>
        <v>#REF!</v>
      </c>
      <c r="L37" s="19" t="e">
        <f>#REF!</f>
        <v>#REF!</v>
      </c>
      <c r="M37" s="19" t="e">
        <f>#REF!</f>
        <v>#REF!</v>
      </c>
      <c r="N37" s="19" t="e">
        <f>#REF!</f>
        <v>#REF!</v>
      </c>
      <c r="O37" s="19" t="e">
        <f>#REF!</f>
        <v>#REF!</v>
      </c>
      <c r="P37" s="19" t="e">
        <f>#REF!</f>
        <v>#REF!</v>
      </c>
      <c r="Q37" s="19" t="e">
        <f>#REF!</f>
        <v>#REF!</v>
      </c>
      <c r="R37" s="19" t="e">
        <f>#REF!</f>
        <v>#REF!</v>
      </c>
      <c r="S37" s="19" t="e">
        <f>#REF!</f>
        <v>#REF!</v>
      </c>
      <c r="T37" s="19" t="e">
        <f>#REF!</f>
        <v>#REF!</v>
      </c>
      <c r="U37" s="19" t="e">
        <f>#REF!</f>
        <v>#REF!</v>
      </c>
      <c r="V37" s="19" t="e">
        <f>#REF!</f>
        <v>#REF!</v>
      </c>
      <c r="W37" s="19" t="e">
        <f>#REF!</f>
        <v>#REF!</v>
      </c>
      <c r="X37" s="19" t="e">
        <f>#REF!</f>
        <v>#REF!</v>
      </c>
      <c r="Y37" s="19" t="e">
        <f>#REF!</f>
        <v>#REF!</v>
      </c>
      <c r="Z37" s="19" t="e">
        <f>#REF!</f>
        <v>#REF!</v>
      </c>
      <c r="AA37" s="19" t="e">
        <f>#REF!</f>
        <v>#REF!</v>
      </c>
      <c r="AB37" s="19" t="e">
        <f>#REF!</f>
        <v>#REF!</v>
      </c>
      <c r="AC37" s="19" t="e">
        <f>#REF!</f>
        <v>#REF!</v>
      </c>
      <c r="AD37" s="19" t="e">
        <f>#REF!</f>
        <v>#REF!</v>
      </c>
      <c r="AE37" s="19" t="e">
        <f>#REF!</f>
        <v>#REF!</v>
      </c>
      <c r="AF37" s="19" t="e">
        <f>#REF!</f>
        <v>#REF!</v>
      </c>
      <c r="AG37" s="19" t="e">
        <f>#REF!</f>
        <v>#REF!</v>
      </c>
      <c r="AH37" s="19" t="e">
        <f>#REF!</f>
        <v>#REF!</v>
      </c>
      <c r="AI37" s="19" t="e">
        <f>#REF!</f>
        <v>#REF!</v>
      </c>
      <c r="AJ37" s="19" t="e">
        <f>#REF!</f>
        <v>#REF!</v>
      </c>
      <c r="AK37" s="19" t="e">
        <f>#REF!</f>
        <v>#REF!</v>
      </c>
      <c r="AL37" s="19" t="e">
        <f>#REF!</f>
        <v>#REF!</v>
      </c>
      <c r="AM37" s="19" t="e">
        <f>#REF!</f>
        <v>#REF!</v>
      </c>
      <c r="AN37" s="19" t="e">
        <f>#REF!</f>
        <v>#REF!</v>
      </c>
      <c r="AO37" s="19" t="e">
        <f>#REF!</f>
        <v>#REF!</v>
      </c>
      <c r="AP37" s="19" t="e">
        <f>#REF!</f>
        <v>#REF!</v>
      </c>
      <c r="AQ37" s="19" t="e">
        <f>#REF!</f>
        <v>#REF!</v>
      </c>
      <c r="AR37" s="19" t="e">
        <f>#REF!</f>
        <v>#REF!</v>
      </c>
      <c r="AS37" s="19" t="e">
        <f>#REF!</f>
        <v>#REF!</v>
      </c>
      <c r="AT37" s="19" t="e">
        <f>#REF!</f>
        <v>#REF!</v>
      </c>
      <c r="AU37" s="19" t="e">
        <f>#REF!</f>
        <v>#REF!</v>
      </c>
      <c r="AV37" s="19" t="e">
        <f>#REF!</f>
        <v>#REF!</v>
      </c>
      <c r="AW37" s="19" t="e">
        <f>#REF!</f>
        <v>#REF!</v>
      </c>
      <c r="AX37" s="19" t="e">
        <f>#REF!</f>
        <v>#REF!</v>
      </c>
      <c r="AY37" s="19" t="e">
        <f>#REF!</f>
        <v>#REF!</v>
      </c>
      <c r="AZ37" s="19" t="e">
        <f>#REF!</f>
        <v>#REF!</v>
      </c>
      <c r="BA37" s="19" t="e">
        <f>#REF!</f>
        <v>#REF!</v>
      </c>
      <c r="BB37" s="19" t="e">
        <f>#REF!</f>
        <v>#REF!</v>
      </c>
      <c r="BC37" s="19" t="e">
        <f>#REF!</f>
        <v>#REF!</v>
      </c>
      <c r="BD37" s="19" t="e">
        <f>#REF!</f>
        <v>#REF!</v>
      </c>
      <c r="BE37" s="19" t="e">
        <f>#REF!</f>
        <v>#REF!</v>
      </c>
      <c r="BF37" s="19" t="e">
        <f>#REF!</f>
        <v>#REF!</v>
      </c>
      <c r="BG37" s="19" t="e">
        <f>#REF!</f>
        <v>#REF!</v>
      </c>
      <c r="BH37" s="19" t="e">
        <f>#REF!</f>
        <v>#REF!</v>
      </c>
    </row>
    <row r="38" spans="1:60" ht="13.5" customHeight="1" x14ac:dyDescent="0.3">
      <c r="B38" s="8" t="s">
        <v>14</v>
      </c>
      <c r="C38" s="19" t="e">
        <f>#REF!</f>
        <v>#REF!</v>
      </c>
      <c r="D38" s="19" t="e">
        <f>#REF!</f>
        <v>#REF!</v>
      </c>
      <c r="E38" s="19" t="e">
        <f>#REF!</f>
        <v>#REF!</v>
      </c>
      <c r="F38" s="19" t="e">
        <f>#REF!</f>
        <v>#REF!</v>
      </c>
      <c r="G38" s="19" t="e">
        <f>#REF!</f>
        <v>#REF!</v>
      </c>
      <c r="H38" s="19" t="e">
        <f>#REF!</f>
        <v>#REF!</v>
      </c>
      <c r="I38" s="19" t="e">
        <f>#REF!</f>
        <v>#REF!</v>
      </c>
      <c r="J38" s="19" t="e">
        <f>#REF!</f>
        <v>#REF!</v>
      </c>
      <c r="K38" s="19" t="e">
        <f>#REF!</f>
        <v>#REF!</v>
      </c>
      <c r="L38" s="19" t="e">
        <f>#REF!</f>
        <v>#REF!</v>
      </c>
      <c r="M38" s="19" t="e">
        <f>#REF!</f>
        <v>#REF!</v>
      </c>
      <c r="N38" s="19" t="e">
        <f>#REF!</f>
        <v>#REF!</v>
      </c>
      <c r="O38" s="19" t="e">
        <f>#REF!</f>
        <v>#REF!</v>
      </c>
      <c r="P38" s="19" t="e">
        <f>#REF!</f>
        <v>#REF!</v>
      </c>
      <c r="Q38" s="19" t="e">
        <f>#REF!</f>
        <v>#REF!</v>
      </c>
      <c r="R38" s="19" t="e">
        <f>#REF!</f>
        <v>#REF!</v>
      </c>
      <c r="S38" s="19" t="e">
        <f>#REF!</f>
        <v>#REF!</v>
      </c>
      <c r="T38" s="19" t="e">
        <f>#REF!</f>
        <v>#REF!</v>
      </c>
      <c r="U38" s="19" t="e">
        <f>#REF!</f>
        <v>#REF!</v>
      </c>
      <c r="V38" s="19" t="e">
        <f>#REF!</f>
        <v>#REF!</v>
      </c>
      <c r="W38" s="19" t="e">
        <f>#REF!</f>
        <v>#REF!</v>
      </c>
      <c r="X38" s="19" t="e">
        <f>#REF!</f>
        <v>#REF!</v>
      </c>
      <c r="Y38" s="19" t="e">
        <f>#REF!</f>
        <v>#REF!</v>
      </c>
      <c r="Z38" s="19" t="e">
        <f>#REF!</f>
        <v>#REF!</v>
      </c>
      <c r="AA38" s="19" t="e">
        <f>#REF!</f>
        <v>#REF!</v>
      </c>
      <c r="AB38" s="19" t="e">
        <f>#REF!</f>
        <v>#REF!</v>
      </c>
      <c r="AC38" s="19" t="e">
        <f>#REF!</f>
        <v>#REF!</v>
      </c>
      <c r="AD38" s="19" t="e">
        <f>#REF!</f>
        <v>#REF!</v>
      </c>
      <c r="AE38" s="19" t="e">
        <f>#REF!</f>
        <v>#REF!</v>
      </c>
      <c r="AF38" s="19" t="e">
        <f>#REF!</f>
        <v>#REF!</v>
      </c>
      <c r="AG38" s="19" t="e">
        <f>#REF!</f>
        <v>#REF!</v>
      </c>
      <c r="AH38" s="19" t="e">
        <f>#REF!</f>
        <v>#REF!</v>
      </c>
      <c r="AI38" s="19" t="e">
        <f>#REF!</f>
        <v>#REF!</v>
      </c>
      <c r="AJ38" s="19" t="e">
        <f>#REF!</f>
        <v>#REF!</v>
      </c>
      <c r="AK38" s="19" t="e">
        <f>#REF!</f>
        <v>#REF!</v>
      </c>
      <c r="AL38" s="19" t="e">
        <f>#REF!</f>
        <v>#REF!</v>
      </c>
      <c r="AM38" s="19" t="e">
        <f>#REF!</f>
        <v>#REF!</v>
      </c>
      <c r="AN38" s="19" t="e">
        <f>#REF!</f>
        <v>#REF!</v>
      </c>
      <c r="AO38" s="19" t="e">
        <f>#REF!</f>
        <v>#REF!</v>
      </c>
      <c r="AP38" s="19" t="e">
        <f>#REF!</f>
        <v>#REF!</v>
      </c>
      <c r="AQ38" s="19" t="e">
        <f>#REF!</f>
        <v>#REF!</v>
      </c>
      <c r="AR38" s="19" t="e">
        <f>#REF!</f>
        <v>#REF!</v>
      </c>
      <c r="AS38" s="19" t="e">
        <f>#REF!</f>
        <v>#REF!</v>
      </c>
      <c r="AT38" s="19" t="e">
        <f>#REF!</f>
        <v>#REF!</v>
      </c>
      <c r="AU38" s="19" t="e">
        <f>#REF!</f>
        <v>#REF!</v>
      </c>
      <c r="AV38" s="19" t="e">
        <f>#REF!</f>
        <v>#REF!</v>
      </c>
      <c r="AW38" s="19" t="e">
        <f>#REF!</f>
        <v>#REF!</v>
      </c>
      <c r="AX38" s="19" t="e">
        <f>#REF!</f>
        <v>#REF!</v>
      </c>
      <c r="AY38" s="19" t="e">
        <f>#REF!</f>
        <v>#REF!</v>
      </c>
      <c r="AZ38" s="19" t="e">
        <f>#REF!</f>
        <v>#REF!</v>
      </c>
      <c r="BA38" s="19" t="e">
        <f>#REF!</f>
        <v>#REF!</v>
      </c>
      <c r="BB38" s="19" t="e">
        <f>#REF!</f>
        <v>#REF!</v>
      </c>
      <c r="BC38" s="19" t="e">
        <f>#REF!</f>
        <v>#REF!</v>
      </c>
      <c r="BD38" s="19" t="e">
        <f>#REF!</f>
        <v>#REF!</v>
      </c>
      <c r="BE38" s="19" t="e">
        <f>#REF!</f>
        <v>#REF!</v>
      </c>
      <c r="BF38" s="19" t="e">
        <f>#REF!</f>
        <v>#REF!</v>
      </c>
      <c r="BG38" s="19" t="e">
        <f>#REF!</f>
        <v>#REF!</v>
      </c>
      <c r="BH38" s="19" t="e">
        <f>#REF!</f>
        <v>#REF!</v>
      </c>
    </row>
    <row r="39" spans="1:60" ht="13.5" customHeight="1" x14ac:dyDescent="0.3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60" ht="13.5" customHeight="1" x14ac:dyDescent="0.25">
      <c r="A40" s="12" t="s">
        <v>24</v>
      </c>
    </row>
    <row r="41" spans="1:60" ht="13.5" customHeight="1" x14ac:dyDescent="0.3">
      <c r="B41" s="8" t="s">
        <v>4</v>
      </c>
      <c r="C41" s="18" t="e">
        <f t="shared" ref="C41:BD41" si="13">C35/C34</f>
        <v>#REF!</v>
      </c>
      <c r="D41" s="18" t="e">
        <f t="shared" si="13"/>
        <v>#REF!</v>
      </c>
      <c r="E41" s="18" t="e">
        <f t="shared" si="13"/>
        <v>#REF!</v>
      </c>
      <c r="F41" s="18" t="e">
        <f t="shared" si="13"/>
        <v>#REF!</v>
      </c>
      <c r="G41" s="18" t="e">
        <f t="shared" si="13"/>
        <v>#REF!</v>
      </c>
      <c r="H41" s="18" t="e">
        <f t="shared" si="13"/>
        <v>#REF!</v>
      </c>
      <c r="I41" s="18" t="e">
        <f t="shared" si="13"/>
        <v>#REF!</v>
      </c>
      <c r="J41" s="18" t="e">
        <f t="shared" si="13"/>
        <v>#REF!</v>
      </c>
      <c r="K41" s="18" t="e">
        <f t="shared" si="13"/>
        <v>#REF!</v>
      </c>
      <c r="L41" s="18" t="e">
        <f t="shared" si="13"/>
        <v>#REF!</v>
      </c>
      <c r="M41" s="18" t="e">
        <f t="shared" si="13"/>
        <v>#REF!</v>
      </c>
      <c r="N41" s="18" t="e">
        <f t="shared" si="13"/>
        <v>#REF!</v>
      </c>
      <c r="O41" s="18" t="e">
        <f t="shared" si="13"/>
        <v>#REF!</v>
      </c>
      <c r="P41" s="18" t="e">
        <f t="shared" si="13"/>
        <v>#REF!</v>
      </c>
      <c r="Q41" s="18" t="e">
        <f t="shared" si="13"/>
        <v>#REF!</v>
      </c>
      <c r="R41" s="18" t="e">
        <f t="shared" si="13"/>
        <v>#REF!</v>
      </c>
      <c r="S41" s="18" t="e">
        <f t="shared" si="13"/>
        <v>#REF!</v>
      </c>
      <c r="T41" s="18" t="e">
        <f t="shared" si="13"/>
        <v>#REF!</v>
      </c>
      <c r="U41" s="18" t="e">
        <f t="shared" si="13"/>
        <v>#REF!</v>
      </c>
      <c r="V41" s="18" t="e">
        <f t="shared" si="13"/>
        <v>#REF!</v>
      </c>
      <c r="W41" s="18" t="e">
        <f t="shared" si="13"/>
        <v>#REF!</v>
      </c>
      <c r="X41" s="18" t="e">
        <f t="shared" si="13"/>
        <v>#REF!</v>
      </c>
      <c r="Y41" s="18" t="e">
        <f t="shared" si="13"/>
        <v>#REF!</v>
      </c>
      <c r="Z41" s="18" t="e">
        <f t="shared" si="13"/>
        <v>#REF!</v>
      </c>
      <c r="AA41" s="18" t="e">
        <f t="shared" si="13"/>
        <v>#REF!</v>
      </c>
      <c r="AB41" s="18" t="e">
        <f t="shared" si="13"/>
        <v>#REF!</v>
      </c>
      <c r="AC41" s="18" t="e">
        <f t="shared" si="13"/>
        <v>#REF!</v>
      </c>
      <c r="AD41" s="18" t="e">
        <f t="shared" si="13"/>
        <v>#REF!</v>
      </c>
      <c r="AE41" s="18" t="e">
        <f t="shared" si="13"/>
        <v>#REF!</v>
      </c>
      <c r="AF41" s="18" t="e">
        <f t="shared" si="13"/>
        <v>#REF!</v>
      </c>
      <c r="AG41" s="18" t="e">
        <f t="shared" si="13"/>
        <v>#REF!</v>
      </c>
      <c r="AH41" s="18" t="e">
        <f t="shared" si="13"/>
        <v>#REF!</v>
      </c>
      <c r="AI41" s="18" t="e">
        <f t="shared" si="13"/>
        <v>#REF!</v>
      </c>
      <c r="AJ41" s="18" t="e">
        <f t="shared" si="13"/>
        <v>#REF!</v>
      </c>
      <c r="AK41" s="18" t="e">
        <f t="shared" si="13"/>
        <v>#REF!</v>
      </c>
      <c r="AL41" s="18" t="e">
        <f t="shared" si="13"/>
        <v>#REF!</v>
      </c>
      <c r="AM41" s="18" t="e">
        <f t="shared" si="13"/>
        <v>#REF!</v>
      </c>
      <c r="AN41" s="18" t="e">
        <f t="shared" si="13"/>
        <v>#REF!</v>
      </c>
      <c r="AO41" s="18" t="e">
        <f t="shared" si="13"/>
        <v>#REF!</v>
      </c>
      <c r="AP41" s="18" t="e">
        <f t="shared" si="13"/>
        <v>#REF!</v>
      </c>
      <c r="AQ41" s="18" t="e">
        <f t="shared" si="13"/>
        <v>#REF!</v>
      </c>
      <c r="AR41" s="18" t="e">
        <f t="shared" si="13"/>
        <v>#REF!</v>
      </c>
      <c r="AS41" s="18" t="e">
        <f t="shared" si="13"/>
        <v>#REF!</v>
      </c>
      <c r="AT41" s="18" t="e">
        <f t="shared" si="13"/>
        <v>#REF!</v>
      </c>
      <c r="AU41" s="18" t="e">
        <f t="shared" si="13"/>
        <v>#REF!</v>
      </c>
      <c r="AV41" s="18" t="e">
        <f t="shared" si="13"/>
        <v>#REF!</v>
      </c>
      <c r="AW41" s="18" t="e">
        <f t="shared" si="13"/>
        <v>#REF!</v>
      </c>
      <c r="AX41" s="18" t="e">
        <f t="shared" si="13"/>
        <v>#REF!</v>
      </c>
      <c r="AY41" s="18" t="e">
        <f t="shared" si="13"/>
        <v>#REF!</v>
      </c>
      <c r="AZ41" s="18" t="e">
        <f t="shared" si="13"/>
        <v>#REF!</v>
      </c>
      <c r="BA41" s="18" t="e">
        <f t="shared" si="13"/>
        <v>#REF!</v>
      </c>
      <c r="BB41" s="18" t="e">
        <f t="shared" si="13"/>
        <v>#REF!</v>
      </c>
      <c r="BC41" s="18" t="e">
        <f t="shared" si="13"/>
        <v>#REF!</v>
      </c>
      <c r="BD41" s="18" t="e">
        <f t="shared" si="13"/>
        <v>#REF!</v>
      </c>
      <c r="BE41" s="18" t="e">
        <f>BE35/BE34</f>
        <v>#REF!</v>
      </c>
      <c r="BF41" s="18" t="e">
        <f>BF35/BF34</f>
        <v>#REF!</v>
      </c>
      <c r="BG41" s="18" t="e">
        <f>BG35/BG34</f>
        <v>#REF!</v>
      </c>
      <c r="BH41" s="18" t="e">
        <f>BH35/BH34</f>
        <v>#REF!</v>
      </c>
    </row>
    <row r="42" spans="1:60" ht="13.5" customHeight="1" x14ac:dyDescent="0.3">
      <c r="B42" s="8" t="s">
        <v>5</v>
      </c>
      <c r="C42" s="18" t="e">
        <f t="shared" ref="C42:BG42" si="14">C36/C34</f>
        <v>#REF!</v>
      </c>
      <c r="D42" s="18" t="e">
        <f t="shared" si="14"/>
        <v>#REF!</v>
      </c>
      <c r="E42" s="18" t="e">
        <f t="shared" si="14"/>
        <v>#REF!</v>
      </c>
      <c r="F42" s="18" t="e">
        <f t="shared" si="14"/>
        <v>#REF!</v>
      </c>
      <c r="G42" s="18" t="e">
        <f t="shared" si="14"/>
        <v>#REF!</v>
      </c>
      <c r="H42" s="18" t="e">
        <f t="shared" si="14"/>
        <v>#REF!</v>
      </c>
      <c r="I42" s="18" t="e">
        <f t="shared" si="14"/>
        <v>#REF!</v>
      </c>
      <c r="J42" s="18" t="e">
        <f t="shared" si="14"/>
        <v>#REF!</v>
      </c>
      <c r="K42" s="18" t="e">
        <f t="shared" si="14"/>
        <v>#REF!</v>
      </c>
      <c r="L42" s="18" t="e">
        <f t="shared" si="14"/>
        <v>#REF!</v>
      </c>
      <c r="M42" s="18" t="e">
        <f t="shared" si="14"/>
        <v>#REF!</v>
      </c>
      <c r="N42" s="18" t="e">
        <f t="shared" si="14"/>
        <v>#REF!</v>
      </c>
      <c r="O42" s="18" t="e">
        <f t="shared" si="14"/>
        <v>#REF!</v>
      </c>
      <c r="P42" s="18" t="e">
        <f t="shared" si="14"/>
        <v>#REF!</v>
      </c>
      <c r="Q42" s="18" t="e">
        <f t="shared" si="14"/>
        <v>#REF!</v>
      </c>
      <c r="R42" s="18" t="e">
        <f t="shared" si="14"/>
        <v>#REF!</v>
      </c>
      <c r="S42" s="18" t="e">
        <f t="shared" si="14"/>
        <v>#REF!</v>
      </c>
      <c r="T42" s="18" t="e">
        <f t="shared" si="14"/>
        <v>#REF!</v>
      </c>
      <c r="U42" s="18" t="e">
        <f t="shared" si="14"/>
        <v>#REF!</v>
      </c>
      <c r="V42" s="18" t="e">
        <f t="shared" si="14"/>
        <v>#REF!</v>
      </c>
      <c r="W42" s="18" t="e">
        <f t="shared" si="14"/>
        <v>#REF!</v>
      </c>
      <c r="X42" s="18" t="e">
        <f t="shared" si="14"/>
        <v>#REF!</v>
      </c>
      <c r="Y42" s="18" t="e">
        <f t="shared" si="14"/>
        <v>#REF!</v>
      </c>
      <c r="Z42" s="18" t="e">
        <f t="shared" si="14"/>
        <v>#REF!</v>
      </c>
      <c r="AA42" s="18" t="e">
        <f t="shared" si="14"/>
        <v>#REF!</v>
      </c>
      <c r="AB42" s="18" t="e">
        <f t="shared" si="14"/>
        <v>#REF!</v>
      </c>
      <c r="AC42" s="18" t="e">
        <f t="shared" si="14"/>
        <v>#REF!</v>
      </c>
      <c r="AD42" s="18" t="e">
        <f t="shared" si="14"/>
        <v>#REF!</v>
      </c>
      <c r="AE42" s="18" t="e">
        <f t="shared" si="14"/>
        <v>#REF!</v>
      </c>
      <c r="AF42" s="18" t="e">
        <f t="shared" si="14"/>
        <v>#REF!</v>
      </c>
      <c r="AG42" s="18" t="e">
        <f t="shared" si="14"/>
        <v>#REF!</v>
      </c>
      <c r="AH42" s="18" t="e">
        <f t="shared" si="14"/>
        <v>#REF!</v>
      </c>
      <c r="AI42" s="18" t="e">
        <f t="shared" si="14"/>
        <v>#REF!</v>
      </c>
      <c r="AJ42" s="18" t="e">
        <f t="shared" si="14"/>
        <v>#REF!</v>
      </c>
      <c r="AK42" s="18" t="e">
        <f t="shared" si="14"/>
        <v>#REF!</v>
      </c>
      <c r="AL42" s="18" t="e">
        <f t="shared" si="14"/>
        <v>#REF!</v>
      </c>
      <c r="AM42" s="18" t="e">
        <f t="shared" si="14"/>
        <v>#REF!</v>
      </c>
      <c r="AN42" s="18" t="e">
        <f t="shared" si="14"/>
        <v>#REF!</v>
      </c>
      <c r="AO42" s="18" t="e">
        <f t="shared" si="14"/>
        <v>#REF!</v>
      </c>
      <c r="AP42" s="18" t="e">
        <f t="shared" si="14"/>
        <v>#REF!</v>
      </c>
      <c r="AQ42" s="18" t="e">
        <f t="shared" si="14"/>
        <v>#REF!</v>
      </c>
      <c r="AR42" s="18" t="e">
        <f t="shared" si="14"/>
        <v>#REF!</v>
      </c>
      <c r="AS42" s="18" t="e">
        <f t="shared" si="14"/>
        <v>#REF!</v>
      </c>
      <c r="AT42" s="18" t="e">
        <f t="shared" si="14"/>
        <v>#REF!</v>
      </c>
      <c r="AU42" s="18" t="e">
        <f t="shared" si="14"/>
        <v>#REF!</v>
      </c>
      <c r="AV42" s="18" t="e">
        <f t="shared" si="14"/>
        <v>#REF!</v>
      </c>
      <c r="AW42" s="18" t="e">
        <f t="shared" si="14"/>
        <v>#REF!</v>
      </c>
      <c r="AX42" s="18" t="e">
        <f t="shared" si="14"/>
        <v>#REF!</v>
      </c>
      <c r="AY42" s="18" t="e">
        <f t="shared" si="14"/>
        <v>#REF!</v>
      </c>
      <c r="AZ42" s="18" t="e">
        <f t="shared" si="14"/>
        <v>#REF!</v>
      </c>
      <c r="BA42" s="18" t="e">
        <f t="shared" si="14"/>
        <v>#REF!</v>
      </c>
      <c r="BB42" s="18" t="e">
        <f t="shared" si="14"/>
        <v>#REF!</v>
      </c>
      <c r="BC42" s="18" t="e">
        <f t="shared" si="14"/>
        <v>#REF!</v>
      </c>
      <c r="BD42" s="18" t="e">
        <f t="shared" si="14"/>
        <v>#REF!</v>
      </c>
      <c r="BE42" s="18" t="e">
        <f t="shared" si="14"/>
        <v>#REF!</v>
      </c>
      <c r="BF42" s="18" t="e">
        <f t="shared" si="14"/>
        <v>#REF!</v>
      </c>
      <c r="BG42" s="18" t="e">
        <f t="shared" si="14"/>
        <v>#REF!</v>
      </c>
      <c r="BH42" s="18" t="e">
        <f t="shared" ref="BH42" si="15">BH36/BH34</f>
        <v>#REF!</v>
      </c>
    </row>
    <row r="43" spans="1:60" ht="13.5" customHeight="1" x14ac:dyDescent="0.3">
      <c r="B43" s="8" t="s">
        <v>6</v>
      </c>
      <c r="C43" s="18" t="e">
        <f t="shared" ref="C43:BG43" si="16">C37/C34</f>
        <v>#REF!</v>
      </c>
      <c r="D43" s="18" t="e">
        <f t="shared" si="16"/>
        <v>#REF!</v>
      </c>
      <c r="E43" s="18" t="e">
        <f t="shared" si="16"/>
        <v>#REF!</v>
      </c>
      <c r="F43" s="18" t="e">
        <f t="shared" si="16"/>
        <v>#REF!</v>
      </c>
      <c r="G43" s="18" t="e">
        <f t="shared" si="16"/>
        <v>#REF!</v>
      </c>
      <c r="H43" s="18" t="e">
        <f t="shared" si="16"/>
        <v>#REF!</v>
      </c>
      <c r="I43" s="18" t="e">
        <f t="shared" si="16"/>
        <v>#REF!</v>
      </c>
      <c r="J43" s="18" t="e">
        <f t="shared" si="16"/>
        <v>#REF!</v>
      </c>
      <c r="K43" s="18" t="e">
        <f t="shared" si="16"/>
        <v>#REF!</v>
      </c>
      <c r="L43" s="18" t="e">
        <f t="shared" si="16"/>
        <v>#REF!</v>
      </c>
      <c r="M43" s="18" t="e">
        <f t="shared" si="16"/>
        <v>#REF!</v>
      </c>
      <c r="N43" s="18" t="e">
        <f t="shared" si="16"/>
        <v>#REF!</v>
      </c>
      <c r="O43" s="18" t="e">
        <f t="shared" si="16"/>
        <v>#REF!</v>
      </c>
      <c r="P43" s="18" t="e">
        <f t="shared" si="16"/>
        <v>#REF!</v>
      </c>
      <c r="Q43" s="18" t="e">
        <f t="shared" si="16"/>
        <v>#REF!</v>
      </c>
      <c r="R43" s="18" t="e">
        <f t="shared" si="16"/>
        <v>#REF!</v>
      </c>
      <c r="S43" s="18" t="e">
        <f t="shared" si="16"/>
        <v>#REF!</v>
      </c>
      <c r="T43" s="18" t="e">
        <f t="shared" si="16"/>
        <v>#REF!</v>
      </c>
      <c r="U43" s="18" t="e">
        <f t="shared" si="16"/>
        <v>#REF!</v>
      </c>
      <c r="V43" s="18" t="e">
        <f t="shared" si="16"/>
        <v>#REF!</v>
      </c>
      <c r="W43" s="18" t="e">
        <f t="shared" si="16"/>
        <v>#REF!</v>
      </c>
      <c r="X43" s="18" t="e">
        <f t="shared" si="16"/>
        <v>#REF!</v>
      </c>
      <c r="Y43" s="18" t="e">
        <f t="shared" si="16"/>
        <v>#REF!</v>
      </c>
      <c r="Z43" s="18" t="e">
        <f t="shared" si="16"/>
        <v>#REF!</v>
      </c>
      <c r="AA43" s="18" t="e">
        <f t="shared" si="16"/>
        <v>#REF!</v>
      </c>
      <c r="AB43" s="18" t="e">
        <f t="shared" si="16"/>
        <v>#REF!</v>
      </c>
      <c r="AC43" s="18" t="e">
        <f t="shared" si="16"/>
        <v>#REF!</v>
      </c>
      <c r="AD43" s="18" t="e">
        <f t="shared" si="16"/>
        <v>#REF!</v>
      </c>
      <c r="AE43" s="18" t="e">
        <f t="shared" si="16"/>
        <v>#REF!</v>
      </c>
      <c r="AF43" s="18" t="e">
        <f t="shared" si="16"/>
        <v>#REF!</v>
      </c>
      <c r="AG43" s="18" t="e">
        <f t="shared" si="16"/>
        <v>#REF!</v>
      </c>
      <c r="AH43" s="18" t="e">
        <f t="shared" si="16"/>
        <v>#REF!</v>
      </c>
      <c r="AI43" s="18" t="e">
        <f t="shared" si="16"/>
        <v>#REF!</v>
      </c>
      <c r="AJ43" s="18" t="e">
        <f t="shared" si="16"/>
        <v>#REF!</v>
      </c>
      <c r="AK43" s="18" t="e">
        <f t="shared" si="16"/>
        <v>#REF!</v>
      </c>
      <c r="AL43" s="18" t="e">
        <f t="shared" si="16"/>
        <v>#REF!</v>
      </c>
      <c r="AM43" s="18" t="e">
        <f t="shared" si="16"/>
        <v>#REF!</v>
      </c>
      <c r="AN43" s="18" t="e">
        <f t="shared" si="16"/>
        <v>#REF!</v>
      </c>
      <c r="AO43" s="18" t="e">
        <f t="shared" si="16"/>
        <v>#REF!</v>
      </c>
      <c r="AP43" s="18" t="e">
        <f t="shared" si="16"/>
        <v>#REF!</v>
      </c>
      <c r="AQ43" s="18" t="e">
        <f t="shared" si="16"/>
        <v>#REF!</v>
      </c>
      <c r="AR43" s="18" t="e">
        <f t="shared" si="16"/>
        <v>#REF!</v>
      </c>
      <c r="AS43" s="18" t="e">
        <f t="shared" si="16"/>
        <v>#REF!</v>
      </c>
      <c r="AT43" s="18" t="e">
        <f t="shared" si="16"/>
        <v>#REF!</v>
      </c>
      <c r="AU43" s="18" t="e">
        <f t="shared" si="16"/>
        <v>#REF!</v>
      </c>
      <c r="AV43" s="18" t="e">
        <f t="shared" si="16"/>
        <v>#REF!</v>
      </c>
      <c r="AW43" s="18" t="e">
        <f t="shared" si="16"/>
        <v>#REF!</v>
      </c>
      <c r="AX43" s="18" t="e">
        <f t="shared" si="16"/>
        <v>#REF!</v>
      </c>
      <c r="AY43" s="18" t="e">
        <f t="shared" si="16"/>
        <v>#REF!</v>
      </c>
      <c r="AZ43" s="18" t="e">
        <f t="shared" si="16"/>
        <v>#REF!</v>
      </c>
      <c r="BA43" s="18" t="e">
        <f t="shared" si="16"/>
        <v>#REF!</v>
      </c>
      <c r="BB43" s="18" t="e">
        <f t="shared" si="16"/>
        <v>#REF!</v>
      </c>
      <c r="BC43" s="18" t="e">
        <f t="shared" si="16"/>
        <v>#REF!</v>
      </c>
      <c r="BD43" s="18" t="e">
        <f t="shared" si="16"/>
        <v>#REF!</v>
      </c>
      <c r="BE43" s="18" t="e">
        <f t="shared" si="16"/>
        <v>#REF!</v>
      </c>
      <c r="BF43" s="18" t="e">
        <f t="shared" si="16"/>
        <v>#REF!</v>
      </c>
      <c r="BG43" s="18" t="e">
        <f t="shared" si="16"/>
        <v>#REF!</v>
      </c>
      <c r="BH43" s="18" t="e">
        <f t="shared" ref="BH43" si="17">BH37/BH34</f>
        <v>#REF!</v>
      </c>
    </row>
    <row r="44" spans="1:60" ht="13.5" customHeight="1" x14ac:dyDescent="0.3">
      <c r="B44" s="8" t="s">
        <v>14</v>
      </c>
      <c r="C44" s="18" t="e">
        <f t="shared" ref="C44:BG44" si="18">C38/C34</f>
        <v>#REF!</v>
      </c>
      <c r="D44" s="18" t="e">
        <f t="shared" si="18"/>
        <v>#REF!</v>
      </c>
      <c r="E44" s="18" t="e">
        <f t="shared" si="18"/>
        <v>#REF!</v>
      </c>
      <c r="F44" s="18" t="e">
        <f t="shared" si="18"/>
        <v>#REF!</v>
      </c>
      <c r="G44" s="18" t="e">
        <f t="shared" si="18"/>
        <v>#REF!</v>
      </c>
      <c r="H44" s="18" t="e">
        <f t="shared" si="18"/>
        <v>#REF!</v>
      </c>
      <c r="I44" s="18" t="e">
        <f t="shared" si="18"/>
        <v>#REF!</v>
      </c>
      <c r="J44" s="18" t="e">
        <f t="shared" si="18"/>
        <v>#REF!</v>
      </c>
      <c r="K44" s="18" t="e">
        <f t="shared" si="18"/>
        <v>#REF!</v>
      </c>
      <c r="L44" s="18" t="e">
        <f t="shared" si="18"/>
        <v>#REF!</v>
      </c>
      <c r="M44" s="18" t="e">
        <f t="shared" si="18"/>
        <v>#REF!</v>
      </c>
      <c r="N44" s="18" t="e">
        <f t="shared" si="18"/>
        <v>#REF!</v>
      </c>
      <c r="O44" s="18" t="e">
        <f t="shared" si="18"/>
        <v>#REF!</v>
      </c>
      <c r="P44" s="18" t="e">
        <f t="shared" si="18"/>
        <v>#REF!</v>
      </c>
      <c r="Q44" s="18" t="e">
        <f t="shared" si="18"/>
        <v>#REF!</v>
      </c>
      <c r="R44" s="18" t="e">
        <f t="shared" si="18"/>
        <v>#REF!</v>
      </c>
      <c r="S44" s="18" t="e">
        <f t="shared" si="18"/>
        <v>#REF!</v>
      </c>
      <c r="T44" s="18" t="e">
        <f t="shared" si="18"/>
        <v>#REF!</v>
      </c>
      <c r="U44" s="18" t="e">
        <f t="shared" si="18"/>
        <v>#REF!</v>
      </c>
      <c r="V44" s="18" t="e">
        <f t="shared" si="18"/>
        <v>#REF!</v>
      </c>
      <c r="W44" s="18" t="e">
        <f t="shared" si="18"/>
        <v>#REF!</v>
      </c>
      <c r="X44" s="18" t="e">
        <f t="shared" si="18"/>
        <v>#REF!</v>
      </c>
      <c r="Y44" s="18" t="e">
        <f t="shared" si="18"/>
        <v>#REF!</v>
      </c>
      <c r="Z44" s="18" t="e">
        <f t="shared" si="18"/>
        <v>#REF!</v>
      </c>
      <c r="AA44" s="18" t="e">
        <f t="shared" si="18"/>
        <v>#REF!</v>
      </c>
      <c r="AB44" s="18" t="e">
        <f t="shared" si="18"/>
        <v>#REF!</v>
      </c>
      <c r="AC44" s="18" t="e">
        <f t="shared" si="18"/>
        <v>#REF!</v>
      </c>
      <c r="AD44" s="18" t="e">
        <f t="shared" si="18"/>
        <v>#REF!</v>
      </c>
      <c r="AE44" s="18" t="e">
        <f t="shared" si="18"/>
        <v>#REF!</v>
      </c>
      <c r="AF44" s="18" t="e">
        <f t="shared" si="18"/>
        <v>#REF!</v>
      </c>
      <c r="AG44" s="18" t="e">
        <f t="shared" si="18"/>
        <v>#REF!</v>
      </c>
      <c r="AH44" s="18" t="e">
        <f t="shared" si="18"/>
        <v>#REF!</v>
      </c>
      <c r="AI44" s="18" t="e">
        <f t="shared" si="18"/>
        <v>#REF!</v>
      </c>
      <c r="AJ44" s="18" t="e">
        <f t="shared" si="18"/>
        <v>#REF!</v>
      </c>
      <c r="AK44" s="18" t="e">
        <f t="shared" si="18"/>
        <v>#REF!</v>
      </c>
      <c r="AL44" s="18" t="e">
        <f t="shared" si="18"/>
        <v>#REF!</v>
      </c>
      <c r="AM44" s="18" t="e">
        <f t="shared" si="18"/>
        <v>#REF!</v>
      </c>
      <c r="AN44" s="18" t="e">
        <f t="shared" si="18"/>
        <v>#REF!</v>
      </c>
      <c r="AO44" s="18" t="e">
        <f t="shared" si="18"/>
        <v>#REF!</v>
      </c>
      <c r="AP44" s="18" t="e">
        <f t="shared" si="18"/>
        <v>#REF!</v>
      </c>
      <c r="AQ44" s="18" t="e">
        <f t="shared" si="18"/>
        <v>#REF!</v>
      </c>
      <c r="AR44" s="18" t="e">
        <f t="shared" si="18"/>
        <v>#REF!</v>
      </c>
      <c r="AS44" s="18" t="e">
        <f t="shared" si="18"/>
        <v>#REF!</v>
      </c>
      <c r="AT44" s="18" t="e">
        <f t="shared" si="18"/>
        <v>#REF!</v>
      </c>
      <c r="AU44" s="18" t="e">
        <f t="shared" si="18"/>
        <v>#REF!</v>
      </c>
      <c r="AV44" s="18" t="e">
        <f t="shared" si="18"/>
        <v>#REF!</v>
      </c>
      <c r="AW44" s="18" t="e">
        <f t="shared" si="18"/>
        <v>#REF!</v>
      </c>
      <c r="AX44" s="18" t="e">
        <f t="shared" si="18"/>
        <v>#REF!</v>
      </c>
      <c r="AY44" s="18" t="e">
        <f t="shared" si="18"/>
        <v>#REF!</v>
      </c>
      <c r="AZ44" s="18" t="e">
        <f t="shared" si="18"/>
        <v>#REF!</v>
      </c>
      <c r="BA44" s="18" t="e">
        <f t="shared" si="18"/>
        <v>#REF!</v>
      </c>
      <c r="BB44" s="18" t="e">
        <f t="shared" si="18"/>
        <v>#REF!</v>
      </c>
      <c r="BC44" s="18" t="e">
        <f t="shared" si="18"/>
        <v>#REF!</v>
      </c>
      <c r="BD44" s="18" t="e">
        <f t="shared" si="18"/>
        <v>#REF!</v>
      </c>
      <c r="BE44" s="18" t="e">
        <f t="shared" si="18"/>
        <v>#REF!</v>
      </c>
      <c r="BF44" s="18" t="e">
        <f t="shared" si="18"/>
        <v>#REF!</v>
      </c>
      <c r="BG44" s="18" t="e">
        <f t="shared" si="18"/>
        <v>#REF!</v>
      </c>
      <c r="BH44" s="18" t="e">
        <f t="shared" ref="BH44" si="19">BH38/BH34</f>
        <v>#REF!</v>
      </c>
    </row>
    <row r="45" spans="1:60" ht="13.5" customHeight="1" x14ac:dyDescent="0.3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60" ht="13.5" customHeight="1" x14ac:dyDescent="0.3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60" ht="13.5" customHeight="1" x14ac:dyDescent="0.25">
      <c r="B47" s="20" t="s">
        <v>12</v>
      </c>
      <c r="C47" s="31" t="e">
        <f t="shared" ref="C47:AH47" si="20">100*((C26/C41)^$AX$6)*((C27/C42)^$AX$7)*((C27/C43)^$AX$8)*((C27/C44)^$AX$9)</f>
        <v>#REF!</v>
      </c>
      <c r="D47" s="31" t="e">
        <f t="shared" si="20"/>
        <v>#REF!</v>
      </c>
      <c r="E47" s="31" t="e">
        <f t="shared" si="20"/>
        <v>#REF!</v>
      </c>
      <c r="F47" s="31" t="e">
        <f t="shared" si="20"/>
        <v>#REF!</v>
      </c>
      <c r="G47" s="31" t="e">
        <f t="shared" si="20"/>
        <v>#REF!</v>
      </c>
      <c r="H47" s="31" t="e">
        <f t="shared" si="20"/>
        <v>#REF!</v>
      </c>
      <c r="I47" s="31" t="e">
        <f t="shared" si="20"/>
        <v>#REF!</v>
      </c>
      <c r="J47" s="31" t="e">
        <f t="shared" si="20"/>
        <v>#REF!</v>
      </c>
      <c r="K47" s="31" t="e">
        <f t="shared" si="20"/>
        <v>#REF!</v>
      </c>
      <c r="L47" s="31" t="e">
        <f t="shared" si="20"/>
        <v>#REF!</v>
      </c>
      <c r="M47" s="31" t="e">
        <f t="shared" si="20"/>
        <v>#REF!</v>
      </c>
      <c r="N47" s="31" t="e">
        <f t="shared" si="20"/>
        <v>#REF!</v>
      </c>
      <c r="O47" s="31" t="e">
        <f t="shared" si="20"/>
        <v>#REF!</v>
      </c>
      <c r="P47" s="31" t="e">
        <f t="shared" si="20"/>
        <v>#REF!</v>
      </c>
      <c r="Q47" s="31" t="e">
        <f t="shared" si="20"/>
        <v>#REF!</v>
      </c>
      <c r="R47" s="31" t="e">
        <f t="shared" si="20"/>
        <v>#REF!</v>
      </c>
      <c r="S47" s="31" t="e">
        <f t="shared" si="20"/>
        <v>#REF!</v>
      </c>
      <c r="T47" s="31" t="e">
        <f t="shared" si="20"/>
        <v>#REF!</v>
      </c>
      <c r="U47" s="31" t="e">
        <f t="shared" si="20"/>
        <v>#REF!</v>
      </c>
      <c r="V47" s="31" t="e">
        <f t="shared" si="20"/>
        <v>#REF!</v>
      </c>
      <c r="W47" s="31" t="e">
        <f t="shared" si="20"/>
        <v>#REF!</v>
      </c>
      <c r="X47" s="31" t="e">
        <f t="shared" si="20"/>
        <v>#REF!</v>
      </c>
      <c r="Y47" s="31" t="e">
        <f t="shared" si="20"/>
        <v>#REF!</v>
      </c>
      <c r="Z47" s="31" t="e">
        <f t="shared" si="20"/>
        <v>#REF!</v>
      </c>
      <c r="AA47" s="31" t="e">
        <f t="shared" si="20"/>
        <v>#REF!</v>
      </c>
      <c r="AB47" s="31" t="e">
        <f t="shared" si="20"/>
        <v>#REF!</v>
      </c>
      <c r="AC47" s="31" t="e">
        <f t="shared" si="20"/>
        <v>#REF!</v>
      </c>
      <c r="AD47" s="31" t="e">
        <f t="shared" si="20"/>
        <v>#REF!</v>
      </c>
      <c r="AE47" s="31" t="e">
        <f t="shared" si="20"/>
        <v>#REF!</v>
      </c>
      <c r="AF47" s="31" t="e">
        <f t="shared" si="20"/>
        <v>#REF!</v>
      </c>
      <c r="AG47" s="31" t="e">
        <f t="shared" si="20"/>
        <v>#REF!</v>
      </c>
      <c r="AH47" s="31" t="e">
        <f t="shared" si="20"/>
        <v>#REF!</v>
      </c>
      <c r="AI47" s="31" t="e">
        <f t="shared" ref="AI47:BG47" si="21">100*((AI26/AI41)^$AX$6)*((AI27/AI42)^$AX$7)*((AI27/AI43)^$AX$8)*((AI27/AI44)^$AX$9)</f>
        <v>#REF!</v>
      </c>
      <c r="AJ47" s="31" t="e">
        <f t="shared" si="21"/>
        <v>#REF!</v>
      </c>
      <c r="AK47" s="31" t="e">
        <f t="shared" si="21"/>
        <v>#REF!</v>
      </c>
      <c r="AL47" s="31" t="e">
        <f t="shared" si="21"/>
        <v>#REF!</v>
      </c>
      <c r="AM47" s="31" t="e">
        <f t="shared" si="21"/>
        <v>#REF!</v>
      </c>
      <c r="AN47" s="31" t="e">
        <f t="shared" si="21"/>
        <v>#REF!</v>
      </c>
      <c r="AO47" s="31" t="e">
        <f t="shared" si="21"/>
        <v>#REF!</v>
      </c>
      <c r="AP47" s="31" t="e">
        <f t="shared" si="21"/>
        <v>#REF!</v>
      </c>
      <c r="AQ47" s="31" t="e">
        <f t="shared" si="21"/>
        <v>#REF!</v>
      </c>
      <c r="AR47" s="31" t="e">
        <f t="shared" si="21"/>
        <v>#REF!</v>
      </c>
      <c r="AS47" s="31" t="e">
        <f t="shared" si="21"/>
        <v>#REF!</v>
      </c>
      <c r="AT47" s="31" t="e">
        <f t="shared" si="21"/>
        <v>#REF!</v>
      </c>
      <c r="AU47" s="31" t="e">
        <f t="shared" si="21"/>
        <v>#REF!</v>
      </c>
      <c r="AV47" s="31" t="e">
        <f t="shared" si="21"/>
        <v>#REF!</v>
      </c>
      <c r="AW47" s="31" t="e">
        <f t="shared" si="21"/>
        <v>#REF!</v>
      </c>
      <c r="AX47" s="31" t="e">
        <f t="shared" si="21"/>
        <v>#REF!</v>
      </c>
      <c r="AY47" s="31" t="e">
        <f t="shared" si="21"/>
        <v>#REF!</v>
      </c>
      <c r="AZ47" s="31" t="e">
        <f t="shared" si="21"/>
        <v>#REF!</v>
      </c>
      <c r="BA47" s="31" t="e">
        <f t="shared" si="21"/>
        <v>#REF!</v>
      </c>
      <c r="BB47" s="31" t="e">
        <f t="shared" si="21"/>
        <v>#REF!</v>
      </c>
      <c r="BC47" s="31" t="e">
        <f t="shared" si="21"/>
        <v>#REF!</v>
      </c>
      <c r="BD47" s="31" t="e">
        <f t="shared" si="21"/>
        <v>#REF!</v>
      </c>
      <c r="BE47" s="31" t="e">
        <f t="shared" si="21"/>
        <v>#REF!</v>
      </c>
      <c r="BF47" s="31" t="e">
        <f t="shared" si="21"/>
        <v>#REF!</v>
      </c>
      <c r="BG47" s="31" t="e">
        <f t="shared" si="21"/>
        <v>#REF!</v>
      </c>
      <c r="BH47" s="31" t="e">
        <f t="shared" ref="BH47" si="22">100*((BH26/BH41)^$AX$6)*((BH27/BH42)^$AX$7)*((BH27/BH43)^$AX$8)*((BH27/BH44)^$AX$9)</f>
        <v>#REF!</v>
      </c>
    </row>
    <row r="48" spans="1:60" ht="13.5" customHeight="1" x14ac:dyDescent="0.3">
      <c r="B48" s="25"/>
      <c r="C48" s="141"/>
      <c r="D48" s="141" t="e">
        <f t="shared" ref="D48:BF48" si="23">((D47/C47)-1)*100</f>
        <v>#REF!</v>
      </c>
      <c r="E48" s="141" t="e">
        <f t="shared" si="23"/>
        <v>#REF!</v>
      </c>
      <c r="F48" s="141" t="e">
        <f t="shared" si="23"/>
        <v>#REF!</v>
      </c>
      <c r="G48" s="141" t="e">
        <f t="shared" si="23"/>
        <v>#REF!</v>
      </c>
      <c r="H48" s="141" t="e">
        <f t="shared" si="23"/>
        <v>#REF!</v>
      </c>
      <c r="I48" s="141" t="e">
        <f t="shared" si="23"/>
        <v>#REF!</v>
      </c>
      <c r="J48" s="141" t="e">
        <f t="shared" si="23"/>
        <v>#REF!</v>
      </c>
      <c r="K48" s="141" t="e">
        <f t="shared" si="23"/>
        <v>#REF!</v>
      </c>
      <c r="L48" s="141" t="e">
        <f t="shared" si="23"/>
        <v>#REF!</v>
      </c>
      <c r="M48" s="141" t="e">
        <f t="shared" si="23"/>
        <v>#REF!</v>
      </c>
      <c r="N48" s="141" t="e">
        <f t="shared" si="23"/>
        <v>#REF!</v>
      </c>
      <c r="O48" s="141" t="e">
        <f t="shared" si="23"/>
        <v>#REF!</v>
      </c>
      <c r="P48" s="141" t="e">
        <f t="shared" si="23"/>
        <v>#REF!</v>
      </c>
      <c r="Q48" s="141" t="e">
        <f t="shared" si="23"/>
        <v>#REF!</v>
      </c>
      <c r="R48" s="141" t="e">
        <f t="shared" si="23"/>
        <v>#REF!</v>
      </c>
      <c r="S48" s="141" t="e">
        <f t="shared" si="23"/>
        <v>#REF!</v>
      </c>
      <c r="T48" s="141" t="e">
        <f t="shared" si="23"/>
        <v>#REF!</v>
      </c>
      <c r="U48" s="141" t="e">
        <f t="shared" si="23"/>
        <v>#REF!</v>
      </c>
      <c r="V48" s="141" t="e">
        <f t="shared" si="23"/>
        <v>#REF!</v>
      </c>
      <c r="W48" s="141" t="e">
        <f t="shared" si="23"/>
        <v>#REF!</v>
      </c>
      <c r="X48" s="141" t="e">
        <f t="shared" si="23"/>
        <v>#REF!</v>
      </c>
      <c r="Y48" s="141" t="e">
        <f t="shared" si="23"/>
        <v>#REF!</v>
      </c>
      <c r="Z48" s="141" t="e">
        <f t="shared" si="23"/>
        <v>#REF!</v>
      </c>
      <c r="AA48" s="141" t="e">
        <f t="shared" si="23"/>
        <v>#REF!</v>
      </c>
      <c r="AB48" s="141" t="e">
        <f t="shared" si="23"/>
        <v>#REF!</v>
      </c>
      <c r="AC48" s="141" t="e">
        <f t="shared" si="23"/>
        <v>#REF!</v>
      </c>
      <c r="AD48" s="141" t="e">
        <f t="shared" si="23"/>
        <v>#REF!</v>
      </c>
      <c r="AE48" s="141" t="e">
        <f t="shared" si="23"/>
        <v>#REF!</v>
      </c>
      <c r="AF48" s="141" t="e">
        <f t="shared" si="23"/>
        <v>#REF!</v>
      </c>
      <c r="AG48" s="141" t="e">
        <f t="shared" si="23"/>
        <v>#REF!</v>
      </c>
      <c r="AH48" s="141" t="e">
        <f t="shared" si="23"/>
        <v>#REF!</v>
      </c>
      <c r="AI48" s="141" t="e">
        <f t="shared" si="23"/>
        <v>#REF!</v>
      </c>
      <c r="AJ48" s="141" t="e">
        <f t="shared" si="23"/>
        <v>#REF!</v>
      </c>
      <c r="AK48" s="141" t="e">
        <f t="shared" si="23"/>
        <v>#REF!</v>
      </c>
      <c r="AL48" s="141" t="e">
        <f t="shared" si="23"/>
        <v>#REF!</v>
      </c>
      <c r="AM48" s="141" t="e">
        <f t="shared" si="23"/>
        <v>#REF!</v>
      </c>
      <c r="AN48" s="141" t="e">
        <f t="shared" si="23"/>
        <v>#REF!</v>
      </c>
      <c r="AO48" s="141" t="e">
        <f t="shared" si="23"/>
        <v>#REF!</v>
      </c>
      <c r="AP48" s="141" t="e">
        <f t="shared" si="23"/>
        <v>#REF!</v>
      </c>
      <c r="AQ48" s="141" t="e">
        <f t="shared" si="23"/>
        <v>#REF!</v>
      </c>
      <c r="AR48" s="141" t="e">
        <f t="shared" si="23"/>
        <v>#REF!</v>
      </c>
      <c r="AS48" s="141" t="e">
        <f t="shared" si="23"/>
        <v>#REF!</v>
      </c>
      <c r="AT48" s="141" t="e">
        <f t="shared" si="23"/>
        <v>#REF!</v>
      </c>
      <c r="AU48" s="141" t="e">
        <f t="shared" si="23"/>
        <v>#REF!</v>
      </c>
      <c r="AV48" s="141" t="e">
        <f t="shared" si="23"/>
        <v>#REF!</v>
      </c>
      <c r="AW48" s="141" t="e">
        <f t="shared" si="23"/>
        <v>#REF!</v>
      </c>
      <c r="AX48" s="141" t="e">
        <f t="shared" si="23"/>
        <v>#REF!</v>
      </c>
      <c r="AY48" s="141" t="e">
        <f t="shared" si="23"/>
        <v>#REF!</v>
      </c>
      <c r="AZ48" s="141" t="e">
        <f t="shared" si="23"/>
        <v>#REF!</v>
      </c>
      <c r="BA48" s="141" t="e">
        <f t="shared" si="23"/>
        <v>#REF!</v>
      </c>
      <c r="BB48" s="141" t="e">
        <f t="shared" si="23"/>
        <v>#REF!</v>
      </c>
      <c r="BC48" s="141" t="e">
        <f t="shared" si="23"/>
        <v>#REF!</v>
      </c>
      <c r="BD48" s="141" t="e">
        <f t="shared" si="23"/>
        <v>#REF!</v>
      </c>
      <c r="BE48" s="141" t="e">
        <f t="shared" si="23"/>
        <v>#REF!</v>
      </c>
      <c r="BF48" s="141" t="e">
        <f t="shared" si="23"/>
        <v>#REF!</v>
      </c>
      <c r="BG48" s="141" t="e">
        <f>((BG47/BF47)-1)*100</f>
        <v>#REF!</v>
      </c>
      <c r="BH48" s="141" t="e">
        <f>((BH47/BG47)-1)*100</f>
        <v>#REF!</v>
      </c>
    </row>
    <row r="51" spans="50:53" ht="13.5" customHeight="1" x14ac:dyDescent="0.25">
      <c r="AX51" s="71"/>
      <c r="AY51" s="71"/>
      <c r="AZ51" s="71"/>
      <c r="BA51" s="71"/>
    </row>
    <row r="52" spans="50:53" ht="13.5" customHeight="1" x14ac:dyDescent="0.25">
      <c r="AX52" s="31"/>
      <c r="AY52" s="31"/>
      <c r="AZ52" s="31"/>
      <c r="BA52" s="31"/>
    </row>
    <row r="53" spans="50:53" ht="13.5" customHeight="1" x14ac:dyDescent="0.25">
      <c r="AX53" s="31"/>
      <c r="AY53" s="31"/>
      <c r="AZ53" s="31"/>
      <c r="BA53" s="31"/>
    </row>
    <row r="54" spans="50:53" ht="13.5" customHeight="1" x14ac:dyDescent="0.25">
      <c r="AX54" s="31"/>
      <c r="AY54" s="31"/>
      <c r="AZ54" s="31"/>
      <c r="BA54" s="31"/>
    </row>
    <row r="87" spans="15:15" ht="13.5" customHeight="1" x14ac:dyDescent="0.25">
      <c r="O87" s="2">
        <v>98.614665089079239</v>
      </c>
    </row>
    <row r="88" spans="15:15" ht="13.5" customHeight="1" x14ac:dyDescent="0.25">
      <c r="O88" s="2">
        <v>99.03456609937183</v>
      </c>
    </row>
    <row r="89" spans="15:15" ht="13.5" customHeight="1" x14ac:dyDescent="0.25">
      <c r="O89" s="2">
        <v>100.23328544993835</v>
      </c>
    </row>
    <row r="90" spans="15:15" ht="13.5" customHeight="1" x14ac:dyDescent="0.25">
      <c r="O90" s="2">
        <v>100.70091760006629</v>
      </c>
    </row>
    <row r="91" spans="15:15" ht="13.5" customHeight="1" x14ac:dyDescent="0.25">
      <c r="O91" s="2">
        <v>99.803442173707253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L18"/>
  <sheetViews>
    <sheetView showGridLines="0" tabSelected="1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R29" sqref="R29"/>
    </sheetView>
  </sheetViews>
  <sheetFormatPr defaultRowHeight="12.75" x14ac:dyDescent="0.2"/>
  <cols>
    <col min="1" max="1" width="4.140625" style="185" customWidth="1"/>
    <col min="2" max="2" width="4.42578125" style="185" customWidth="1"/>
    <col min="3" max="3" width="47.7109375" style="185" customWidth="1"/>
    <col min="4" max="38" width="8.28515625" style="185" customWidth="1"/>
    <col min="39" max="39" width="4.140625" style="185" customWidth="1"/>
    <col min="40" max="47" width="9.5703125" style="185" bestFit="1" customWidth="1"/>
    <col min="48" max="16384" width="9.140625" style="185"/>
  </cols>
  <sheetData>
    <row r="2" spans="2:38" ht="16.5" customHeight="1" thickBot="1" x14ac:dyDescent="0.25"/>
    <row r="3" spans="2:38" ht="7.5" hidden="1" customHeight="1" x14ac:dyDescent="0.2">
      <c r="B3" s="186"/>
      <c r="C3" s="204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6"/>
      <c r="X3" s="206"/>
      <c r="Y3" s="206"/>
      <c r="Z3" s="206"/>
      <c r="AA3" s="206"/>
      <c r="AB3" s="206"/>
      <c r="AC3" s="206"/>
      <c r="AD3" s="207"/>
      <c r="AE3" s="187"/>
    </row>
    <row r="4" spans="2:38" ht="13.5" hidden="1" customHeight="1" x14ac:dyDescent="0.2">
      <c r="B4" s="186"/>
      <c r="C4" s="242" t="s">
        <v>123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4"/>
      <c r="AE4" s="187"/>
    </row>
    <row r="5" spans="2:38" ht="28.5" hidden="1" customHeight="1" thickBot="1" x14ac:dyDescent="0.25">
      <c r="B5" s="186"/>
      <c r="C5" s="242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4"/>
      <c r="AE5" s="187"/>
    </row>
    <row r="6" spans="2:38" ht="3.75" hidden="1" customHeight="1" thickBot="1" x14ac:dyDescent="0.25">
      <c r="B6" s="186"/>
      <c r="C6" s="208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10"/>
      <c r="P6" s="210"/>
      <c r="Q6" s="210"/>
      <c r="R6" s="210"/>
      <c r="S6" s="210"/>
      <c r="T6" s="188"/>
      <c r="U6" s="189"/>
      <c r="V6" s="188"/>
      <c r="X6" s="211"/>
      <c r="Y6" s="211"/>
      <c r="Z6" s="211"/>
      <c r="AA6" s="211"/>
      <c r="AB6" s="211"/>
      <c r="AC6" s="211"/>
      <c r="AD6" s="212"/>
      <c r="AE6" s="187"/>
    </row>
    <row r="7" spans="2:38" ht="52.5" customHeight="1" thickBot="1" x14ac:dyDescent="0.25">
      <c r="B7" s="186"/>
      <c r="C7" s="233" t="s">
        <v>125</v>
      </c>
      <c r="D7" s="234"/>
      <c r="E7" s="234"/>
      <c r="F7" s="234"/>
      <c r="G7" s="234"/>
      <c r="H7" s="234"/>
      <c r="I7" s="234"/>
      <c r="J7" s="234"/>
      <c r="K7" s="234"/>
      <c r="L7" s="234"/>
      <c r="M7" s="213"/>
      <c r="N7" s="213"/>
      <c r="O7" s="213"/>
      <c r="P7" s="213"/>
      <c r="Q7" s="213"/>
      <c r="R7" s="213"/>
      <c r="S7" s="213"/>
      <c r="T7" s="213"/>
      <c r="U7" s="213"/>
      <c r="V7" s="214"/>
      <c r="W7" s="214"/>
      <c r="X7" s="214"/>
      <c r="Y7" s="214"/>
      <c r="Z7" s="214"/>
      <c r="AA7" s="214"/>
      <c r="AB7" s="214"/>
      <c r="AC7" s="215"/>
      <c r="AD7" s="215"/>
      <c r="AE7" s="190"/>
      <c r="AF7" s="191"/>
      <c r="AG7" s="192"/>
      <c r="AH7" s="191"/>
      <c r="AI7" s="191"/>
      <c r="AJ7" s="191"/>
      <c r="AK7" s="191"/>
      <c r="AL7" s="193"/>
    </row>
    <row r="8" spans="2:38" ht="30" customHeight="1" x14ac:dyDescent="0.2">
      <c r="B8" s="186"/>
      <c r="C8" s="245" t="s">
        <v>120</v>
      </c>
      <c r="D8" s="236">
        <v>2001</v>
      </c>
      <c r="E8" s="236">
        <v>2002</v>
      </c>
      <c r="F8" s="236">
        <v>2003</v>
      </c>
      <c r="G8" s="236">
        <v>2004</v>
      </c>
      <c r="H8" s="236">
        <v>2005</v>
      </c>
      <c r="I8" s="236">
        <v>2006</v>
      </c>
      <c r="J8" s="236">
        <v>2007</v>
      </c>
      <c r="K8" s="236">
        <v>2008</v>
      </c>
      <c r="L8" s="236">
        <v>2009</v>
      </c>
      <c r="M8" s="236">
        <v>2010</v>
      </c>
      <c r="N8" s="236">
        <v>2011</v>
      </c>
      <c r="O8" s="236">
        <v>2012</v>
      </c>
      <c r="P8" s="236">
        <v>2013</v>
      </c>
      <c r="Q8" s="236">
        <v>2014</v>
      </c>
      <c r="R8" s="236">
        <v>2015</v>
      </c>
      <c r="S8" s="247">
        <v>2016</v>
      </c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16"/>
      <c r="AE8" s="236">
        <v>2016</v>
      </c>
      <c r="AF8" s="238">
        <v>2017</v>
      </c>
      <c r="AG8" s="238"/>
      <c r="AH8" s="238"/>
      <c r="AI8" s="238"/>
      <c r="AJ8" s="238"/>
      <c r="AK8" s="238"/>
      <c r="AL8" s="239"/>
    </row>
    <row r="9" spans="2:38" ht="15" customHeight="1" x14ac:dyDescent="0.2">
      <c r="B9" s="186"/>
      <c r="C9" s="246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17" t="s">
        <v>102</v>
      </c>
      <c r="T9" s="217" t="s">
        <v>103</v>
      </c>
      <c r="U9" s="217" t="s">
        <v>104</v>
      </c>
      <c r="V9" s="217" t="s">
        <v>105</v>
      </c>
      <c r="W9" s="217" t="s">
        <v>106</v>
      </c>
      <c r="X9" s="217" t="s">
        <v>107</v>
      </c>
      <c r="Y9" s="217" t="s">
        <v>108</v>
      </c>
      <c r="Z9" s="217" t="s">
        <v>109</v>
      </c>
      <c r="AA9" s="217" t="s">
        <v>110</v>
      </c>
      <c r="AB9" s="217" t="s">
        <v>111</v>
      </c>
      <c r="AC9" s="217" t="s">
        <v>112</v>
      </c>
      <c r="AD9" s="217" t="s">
        <v>113</v>
      </c>
      <c r="AE9" s="240"/>
      <c r="AF9" s="218" t="s">
        <v>102</v>
      </c>
      <c r="AG9" s="218" t="s">
        <v>103</v>
      </c>
      <c r="AH9" s="218" t="s">
        <v>104</v>
      </c>
      <c r="AI9" s="218" t="s">
        <v>105</v>
      </c>
      <c r="AJ9" s="218" t="s">
        <v>106</v>
      </c>
      <c r="AK9" s="218" t="s">
        <v>107</v>
      </c>
      <c r="AL9" s="219" t="s">
        <v>108</v>
      </c>
    </row>
    <row r="10" spans="2:38" s="195" customFormat="1" ht="37.5" customHeight="1" x14ac:dyDescent="0.25">
      <c r="B10" s="194"/>
      <c r="C10" s="220" t="s">
        <v>114</v>
      </c>
      <c r="D10" s="221">
        <v>202.82891031369113</v>
      </c>
      <c r="E10" s="221">
        <v>221.85407504769091</v>
      </c>
      <c r="F10" s="221">
        <v>212.85828631828122</v>
      </c>
      <c r="G10" s="221">
        <v>192.15149079687316</v>
      </c>
      <c r="H10" s="221">
        <v>182.21684022258552</v>
      </c>
      <c r="I10" s="221">
        <v>150.25764289966608</v>
      </c>
      <c r="J10" s="221">
        <v>127.88260371349679</v>
      </c>
      <c r="K10" s="221">
        <v>110.95869404759088</v>
      </c>
      <c r="L10" s="221">
        <v>106.19131745397017</v>
      </c>
      <c r="M10" s="221">
        <v>99.866166282786793</v>
      </c>
      <c r="N10" s="221">
        <v>101.43487501940305</v>
      </c>
      <c r="O10" s="221">
        <v>99.439531568999143</v>
      </c>
      <c r="P10" s="221">
        <v>100.34930692553577</v>
      </c>
      <c r="Q10" s="221">
        <v>100.79858350436642</v>
      </c>
      <c r="R10" s="221">
        <v>101.09603195298499</v>
      </c>
      <c r="S10" s="221">
        <v>107.01557893158991</v>
      </c>
      <c r="T10" s="221">
        <v>107.91559382260014</v>
      </c>
      <c r="U10" s="221">
        <v>108.26364265287877</v>
      </c>
      <c r="V10" s="221">
        <v>109.03196344359941</v>
      </c>
      <c r="W10" s="221">
        <v>109.3139823220569</v>
      </c>
      <c r="X10" s="221">
        <v>109.31828625888677</v>
      </c>
      <c r="Y10" s="221">
        <v>109.31502355073974</v>
      </c>
      <c r="Z10" s="221">
        <v>109.33663519439926</v>
      </c>
      <c r="AA10" s="221">
        <v>109.34765299845884</v>
      </c>
      <c r="AB10" s="221">
        <v>109.32689671869117</v>
      </c>
      <c r="AC10" s="221">
        <v>109.31676420229735</v>
      </c>
      <c r="AD10" s="221">
        <v>109.28622730693654</v>
      </c>
      <c r="AE10" s="221">
        <v>108.88614681345223</v>
      </c>
      <c r="AF10" s="221">
        <v>109.29278503526373</v>
      </c>
      <c r="AG10" s="221">
        <v>109.29222591554867</v>
      </c>
      <c r="AH10" s="221">
        <v>109.30943521019715</v>
      </c>
      <c r="AI10" s="221">
        <v>109.31269956496128</v>
      </c>
      <c r="AJ10" s="221">
        <v>109.3933988662868</v>
      </c>
      <c r="AK10" s="221">
        <v>109.40532615932543</v>
      </c>
      <c r="AL10" s="222">
        <v>109.45528575075375</v>
      </c>
    </row>
    <row r="11" spans="2:38" s="195" customFormat="1" ht="28.5" customHeight="1" x14ac:dyDescent="0.25">
      <c r="B11" s="194"/>
      <c r="C11" s="223" t="s">
        <v>115</v>
      </c>
      <c r="D11" s="221"/>
      <c r="E11" s="221">
        <v>9.379907777730434</v>
      </c>
      <c r="F11" s="221">
        <v>-4.0548223995777066</v>
      </c>
      <c r="G11" s="221">
        <v>-9.7279724832726284</v>
      </c>
      <c r="H11" s="221">
        <v>-5.1702177969515484</v>
      </c>
      <c r="I11" s="221">
        <v>-17.53910192048108</v>
      </c>
      <c r="J11" s="221">
        <v>-14.891115522895648</v>
      </c>
      <c r="K11" s="221">
        <v>-13.233942048772773</v>
      </c>
      <c r="L11" s="221">
        <v>-4.2965327183609014</v>
      </c>
      <c r="M11" s="221">
        <v>-5.956373197766462</v>
      </c>
      <c r="N11" s="221">
        <v>1.5708110113831886</v>
      </c>
      <c r="O11" s="221">
        <v>-1.9671177689352226</v>
      </c>
      <c r="P11" s="221">
        <v>0.91490309958404126</v>
      </c>
      <c r="Q11" s="221">
        <v>0.44771268740704251</v>
      </c>
      <c r="R11" s="221">
        <v>0.29509189343488451</v>
      </c>
      <c r="S11" s="221">
        <v>3.3419360346197857</v>
      </c>
      <c r="T11" s="221">
        <v>0.84101296278140669</v>
      </c>
      <c r="U11" s="221">
        <v>0.32251949690493831</v>
      </c>
      <c r="V11" s="221">
        <v>0.70967572482671937</v>
      </c>
      <c r="W11" s="221">
        <v>0.25865706674481626</v>
      </c>
      <c r="X11" s="221">
        <v>3.9372244414082047E-3</v>
      </c>
      <c r="Y11" s="221">
        <v>-2.9845950377471731E-3</v>
      </c>
      <c r="Z11" s="221">
        <v>1.9770058092238862E-2</v>
      </c>
      <c r="AA11" s="221">
        <v>1.0076955487048345E-2</v>
      </c>
      <c r="AB11" s="221">
        <v>-1.8981916116622699E-2</v>
      </c>
      <c r="AC11" s="221">
        <v>-9.2680911083498074E-3</v>
      </c>
      <c r="AD11" s="221">
        <v>-2.793432058078027E-2</v>
      </c>
      <c r="AE11" s="221">
        <v>7.7056583824081759</v>
      </c>
      <c r="AF11" s="221">
        <v>6.000507555969925E-3</v>
      </c>
      <c r="AG11" s="221">
        <v>-5.1157971212578701E-4</v>
      </c>
      <c r="AH11" s="221">
        <v>1.574612878849635E-2</v>
      </c>
      <c r="AI11" s="221">
        <v>2.9863430890841869E-3</v>
      </c>
      <c r="AJ11" s="221">
        <v>7.3824268951994121E-2</v>
      </c>
      <c r="AK11" s="221">
        <v>1.0903119532112981E-2</v>
      </c>
      <c r="AL11" s="222">
        <v>4.5664679391910212E-2</v>
      </c>
    </row>
    <row r="12" spans="2:38" s="197" customFormat="1" ht="42" customHeight="1" x14ac:dyDescent="0.25">
      <c r="B12" s="196"/>
      <c r="C12" s="220" t="s">
        <v>116</v>
      </c>
      <c r="D12" s="221">
        <v>80.123919791508825</v>
      </c>
      <c r="E12" s="221">
        <v>79.590684704291903</v>
      </c>
      <c r="F12" s="221">
        <v>70.124645996256433</v>
      </c>
      <c r="G12" s="221">
        <v>64.849323215369253</v>
      </c>
      <c r="H12" s="221">
        <v>67.508271112238404</v>
      </c>
      <c r="I12" s="221">
        <v>65.139519661451274</v>
      </c>
      <c r="J12" s="221">
        <v>62.827228382853924</v>
      </c>
      <c r="K12" s="221">
        <v>68.567833244241626</v>
      </c>
      <c r="L12" s="221">
        <v>74.931773316698226</v>
      </c>
      <c r="M12" s="221">
        <v>76.555719283481082</v>
      </c>
      <c r="N12" s="221">
        <v>83.990869149895062</v>
      </c>
      <c r="O12" s="221">
        <v>87.279855178300906</v>
      </c>
      <c r="P12" s="224">
        <v>93.045191010411727</v>
      </c>
      <c r="Q12" s="224">
        <v>98.521018694145368</v>
      </c>
      <c r="R12" s="224">
        <v>101.31455374432875</v>
      </c>
      <c r="S12" s="224">
        <v>108.30636296795683</v>
      </c>
      <c r="T12" s="224">
        <v>108.89504346923135</v>
      </c>
      <c r="U12" s="224">
        <v>107.82205871175917</v>
      </c>
      <c r="V12" s="224">
        <v>109.32868905497399</v>
      </c>
      <c r="W12" s="224">
        <v>109.04115605793019</v>
      </c>
      <c r="X12" s="224">
        <v>107.66440950395081</v>
      </c>
      <c r="Y12" s="224">
        <v>107.42851031367046</v>
      </c>
      <c r="Z12" s="224">
        <v>106.91103284530409</v>
      </c>
      <c r="AA12" s="224">
        <v>106.28167982013755</v>
      </c>
      <c r="AB12" s="224">
        <v>105.9263804425738</v>
      </c>
      <c r="AC12" s="224">
        <v>106.6149602375242</v>
      </c>
      <c r="AD12" s="224">
        <v>105.76825266767077</v>
      </c>
      <c r="AE12" s="224">
        <v>107.3624670177861</v>
      </c>
      <c r="AF12" s="224">
        <v>106.00580812610197</v>
      </c>
      <c r="AG12" s="224">
        <v>105.8877761838577</v>
      </c>
      <c r="AH12" s="224">
        <v>104.96755300489649</v>
      </c>
      <c r="AI12" s="224">
        <v>105.00383028096759</v>
      </c>
      <c r="AJ12" s="224">
        <v>104.42776917028692</v>
      </c>
      <c r="AK12" s="224">
        <v>106.19724186759078</v>
      </c>
      <c r="AL12" s="225">
        <v>107.98007865673699</v>
      </c>
    </row>
    <row r="13" spans="2:38" s="197" customFormat="1" ht="18" customHeight="1" thickBot="1" x14ac:dyDescent="0.3">
      <c r="B13" s="196"/>
      <c r="C13" s="226" t="s">
        <v>117</v>
      </c>
      <c r="D13" s="227"/>
      <c r="E13" s="227">
        <v>-0.66551298114777557</v>
      </c>
      <c r="F13" s="227">
        <v>-11.893400268140953</v>
      </c>
      <c r="G13" s="227">
        <v>-7.5227799098890324</v>
      </c>
      <c r="H13" s="227">
        <v>4.1001937491908613</v>
      </c>
      <c r="I13" s="227">
        <v>-3.508831453924921</v>
      </c>
      <c r="J13" s="227">
        <v>-3.5497518105982229</v>
      </c>
      <c r="K13" s="227">
        <v>9.1371289314337467</v>
      </c>
      <c r="L13" s="227">
        <v>9.2812325712378296</v>
      </c>
      <c r="M13" s="227">
        <v>2.1672327971196781</v>
      </c>
      <c r="N13" s="227">
        <v>9.7120762968499807</v>
      </c>
      <c r="O13" s="227">
        <v>3.9158852166848446</v>
      </c>
      <c r="P13" s="228">
        <v>6.6055744711457365</v>
      </c>
      <c r="Q13" s="228">
        <v>5.8851270272752609</v>
      </c>
      <c r="R13" s="228">
        <v>2.8354711382510223</v>
      </c>
      <c r="S13" s="228">
        <v>4.0944531822791896</v>
      </c>
      <c r="T13" s="228">
        <v>0.54353270218177041</v>
      </c>
      <c r="U13" s="228">
        <v>-0.98533847206311309</v>
      </c>
      <c r="V13" s="228">
        <v>1.3973303433599815</v>
      </c>
      <c r="W13" s="228">
        <v>-0.26299866899457403</v>
      </c>
      <c r="X13" s="228">
        <v>-1.2625935048303782</v>
      </c>
      <c r="Y13" s="228">
        <v>-0.21910600853821682</v>
      </c>
      <c r="Z13" s="228">
        <v>-0.4816947259674631</v>
      </c>
      <c r="AA13" s="228">
        <v>-0.5886698579342986</v>
      </c>
      <c r="AB13" s="228">
        <v>-0.33429973836039961</v>
      </c>
      <c r="AC13" s="228">
        <v>0.65005505906405858</v>
      </c>
      <c r="AD13" s="228">
        <v>-0.79417332048624667</v>
      </c>
      <c r="AE13" s="228">
        <v>5.9694417533728616</v>
      </c>
      <c r="AF13" s="228">
        <v>0.22459996496075885</v>
      </c>
      <c r="AG13" s="228">
        <v>-0.11134478792319547</v>
      </c>
      <c r="AH13" s="228">
        <v>-0.86905515643598275</v>
      </c>
      <c r="AI13" s="228">
        <v>3.4560466575239701E-2</v>
      </c>
      <c r="AJ13" s="228">
        <v>-0.54860961656280072</v>
      </c>
      <c r="AK13" s="228">
        <v>1.6944465168248879</v>
      </c>
      <c r="AL13" s="229">
        <v>1.6787976389905701</v>
      </c>
    </row>
    <row r="14" spans="2:38" x14ac:dyDescent="0.2">
      <c r="C14" s="235" t="s">
        <v>124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0"/>
      <c r="N14" s="230"/>
      <c r="O14" s="230"/>
      <c r="P14" s="230"/>
      <c r="Q14" s="230"/>
      <c r="R14" s="230"/>
      <c r="S14" s="230"/>
      <c r="T14" s="230"/>
      <c r="U14" s="230"/>
      <c r="V14" s="198"/>
      <c r="W14" s="199"/>
      <c r="X14" s="199"/>
      <c r="Y14" s="199"/>
      <c r="Z14" s="199"/>
      <c r="AA14" s="199"/>
      <c r="AB14" s="199"/>
      <c r="AC14" s="199"/>
      <c r="AD14" s="200"/>
      <c r="AE14" s="189"/>
      <c r="AG14" s="201"/>
    </row>
    <row r="15" spans="2:38" ht="15.75" customHeight="1" x14ac:dyDescent="0.2">
      <c r="C15" s="241" t="s">
        <v>118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30"/>
      <c r="N15" s="230"/>
      <c r="O15" s="230"/>
      <c r="P15" s="230"/>
      <c r="Q15" s="230"/>
      <c r="R15" s="230"/>
      <c r="S15" s="230"/>
      <c r="T15" s="230"/>
      <c r="U15" s="230"/>
      <c r="V15" s="202"/>
      <c r="W15" s="203"/>
      <c r="X15" s="203"/>
      <c r="Y15" s="203"/>
      <c r="Z15" s="203"/>
      <c r="AA15" s="203"/>
      <c r="AB15" s="203"/>
      <c r="AC15" s="203"/>
      <c r="AD15" s="203"/>
      <c r="AE15" s="189"/>
      <c r="AG15" s="201"/>
    </row>
    <row r="16" spans="2:38" ht="15.75" customHeight="1" x14ac:dyDescent="0.2">
      <c r="C16" s="232" t="s">
        <v>119</v>
      </c>
      <c r="D16" s="231"/>
      <c r="E16" s="231"/>
      <c r="F16" s="231"/>
      <c r="G16" s="231"/>
      <c r="H16" s="231"/>
      <c r="I16" s="231"/>
      <c r="J16" s="231"/>
      <c r="K16" s="231"/>
      <c r="L16" s="231"/>
      <c r="M16" s="230"/>
      <c r="N16" s="230"/>
      <c r="O16" s="230"/>
      <c r="P16" s="230"/>
      <c r="Q16" s="230"/>
      <c r="R16" s="230"/>
      <c r="S16" s="230"/>
      <c r="T16" s="230"/>
      <c r="U16" s="230"/>
      <c r="V16" s="202"/>
      <c r="W16" s="203"/>
      <c r="X16" s="203"/>
      <c r="Y16" s="203"/>
      <c r="Z16" s="203"/>
      <c r="AA16" s="203"/>
      <c r="AB16" s="203"/>
      <c r="AC16" s="203"/>
      <c r="AD16" s="203"/>
      <c r="AE16" s="189"/>
      <c r="AG16" s="201"/>
    </row>
    <row r="17" spans="3:30" ht="14.25" customHeight="1" x14ac:dyDescent="0.2">
      <c r="C17" s="232" t="s">
        <v>121</v>
      </c>
      <c r="D17" s="166"/>
      <c r="E17" s="166"/>
      <c r="F17" s="166"/>
      <c r="G17" s="166"/>
      <c r="H17" s="166"/>
      <c r="I17" s="166"/>
      <c r="J17" s="166"/>
      <c r="K17" s="166"/>
      <c r="L17" s="166"/>
      <c r="M17" s="230"/>
      <c r="N17" s="230"/>
      <c r="O17" s="230"/>
      <c r="P17" s="230"/>
      <c r="Q17" s="230"/>
      <c r="R17" s="230"/>
      <c r="S17" s="230"/>
      <c r="T17" s="230"/>
      <c r="U17" s="230"/>
      <c r="V17" s="186"/>
      <c r="W17" s="186"/>
      <c r="X17" s="186"/>
      <c r="Y17" s="186"/>
      <c r="Z17" s="186"/>
      <c r="AA17" s="186"/>
      <c r="AB17" s="186"/>
      <c r="AC17" s="186"/>
      <c r="AD17" s="186"/>
    </row>
    <row r="18" spans="3:30" x14ac:dyDescent="0.2">
      <c r="C18" s="232" t="s">
        <v>122</v>
      </c>
    </row>
  </sheetData>
  <mergeCells count="23">
    <mergeCell ref="AF8:AL8"/>
    <mergeCell ref="AE8:AE9"/>
    <mergeCell ref="C15:L15"/>
    <mergeCell ref="C4:AD5"/>
    <mergeCell ref="C8:C9"/>
    <mergeCell ref="D8:D9"/>
    <mergeCell ref="E8:E9"/>
    <mergeCell ref="F8:F9"/>
    <mergeCell ref="G8:G9"/>
    <mergeCell ref="H8:H9"/>
    <mergeCell ref="I8:I9"/>
    <mergeCell ref="J8:J9"/>
    <mergeCell ref="Q8:Q9"/>
    <mergeCell ref="R8:R9"/>
    <mergeCell ref="S8:AC8"/>
    <mergeCell ref="C7:L7"/>
    <mergeCell ref="C14:L14"/>
    <mergeCell ref="O8:O9"/>
    <mergeCell ref="P8:P9"/>
    <mergeCell ref="K8:K9"/>
    <mergeCell ref="L8:L9"/>
    <mergeCell ref="M8:M9"/>
    <mergeCell ref="N8:N9"/>
  </mergeCells>
  <printOptions horizontalCentered="1" verticalCentered="1"/>
  <pageMargins left="0.31496062992125984" right="0.31496062992125984" top="0.35433070866141736" bottom="0.59055118110236227" header="0.31496062992125984" footer="0.31496062992125984"/>
  <pageSetup paperSize="9" scale="4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>
    <tabColor rgb="FFFFFF00"/>
  </sheetPr>
  <dimension ref="B2:R101"/>
  <sheetViews>
    <sheetView showGridLines="0" view="pageBreakPreview" zoomScale="118" zoomScaleNormal="100" zoomScaleSheetLayoutView="118" workbookViewId="0">
      <selection activeCell="J92" sqref="J92"/>
    </sheetView>
  </sheetViews>
  <sheetFormatPr defaultColWidth="9.140625" defaultRowHeight="12.75" x14ac:dyDescent="0.2"/>
  <cols>
    <col min="1" max="1" width="12.5703125" style="32" customWidth="1"/>
    <col min="2" max="2" width="2.7109375" style="32" customWidth="1"/>
    <col min="3" max="3" width="8" style="32" customWidth="1"/>
    <col min="4" max="4" width="7.28515625" style="32" customWidth="1"/>
    <col min="5" max="12" width="14" style="32" customWidth="1"/>
    <col min="13" max="13" width="2.42578125" style="32" customWidth="1"/>
    <col min="14" max="14" width="9.28515625" style="32" bestFit="1" customWidth="1"/>
    <col min="15" max="15" width="9.140625" style="32"/>
    <col min="16" max="16" width="9.7109375" style="32" bestFit="1" customWidth="1"/>
    <col min="17" max="16384" width="9.140625" style="32"/>
  </cols>
  <sheetData>
    <row r="2" spans="3:18" ht="13.5" thickBot="1" x14ac:dyDescent="0.25"/>
    <row r="3" spans="3:18" ht="15" customHeight="1" x14ac:dyDescent="0.25">
      <c r="C3" s="33"/>
      <c r="D3" s="34"/>
      <c r="E3" s="35"/>
      <c r="F3" s="35"/>
      <c r="G3" s="35"/>
      <c r="H3" s="35"/>
      <c r="I3" s="35"/>
      <c r="J3" s="36"/>
      <c r="K3" s="35"/>
      <c r="L3" s="37"/>
    </row>
    <row r="4" spans="3:18" ht="15" customHeight="1" x14ac:dyDescent="0.25">
      <c r="C4" s="38"/>
      <c r="D4" s="22"/>
      <c r="E4" s="39" t="s">
        <v>37</v>
      </c>
      <c r="F4" s="40"/>
      <c r="G4" s="40"/>
      <c r="H4" s="40"/>
      <c r="I4" s="40"/>
      <c r="J4" s="41"/>
      <c r="K4" s="40"/>
      <c r="L4" s="42"/>
    </row>
    <row r="5" spans="3:18" ht="15" customHeight="1" thickBot="1" x14ac:dyDescent="0.3">
      <c r="C5" s="43"/>
      <c r="D5" s="44"/>
      <c r="E5" s="45"/>
      <c r="F5" s="45"/>
      <c r="G5" s="45"/>
      <c r="H5" s="45"/>
      <c r="I5" s="46"/>
      <c r="J5" s="46"/>
      <c r="K5" s="46"/>
      <c r="L5" s="47"/>
    </row>
    <row r="6" spans="3:18" ht="4.5" customHeight="1" x14ac:dyDescent="0.25">
      <c r="C6" s="48"/>
      <c r="D6" s="49"/>
      <c r="E6" s="23"/>
      <c r="F6" s="23"/>
      <c r="G6" s="23"/>
      <c r="H6" s="23"/>
      <c r="I6" s="23"/>
      <c r="J6" s="23"/>
      <c r="K6" s="23"/>
      <c r="L6" s="30"/>
    </row>
    <row r="7" spans="3:18" ht="4.5" customHeight="1" x14ac:dyDescent="0.25">
      <c r="C7" s="48"/>
      <c r="D7" s="49"/>
      <c r="E7" s="23"/>
      <c r="F7" s="23"/>
      <c r="G7" s="23"/>
      <c r="H7" s="23"/>
      <c r="I7" s="50"/>
      <c r="J7" s="50"/>
      <c r="K7" s="50"/>
      <c r="L7" s="51"/>
      <c r="M7" s="79"/>
    </row>
    <row r="8" spans="3:18" ht="18" customHeight="1" x14ac:dyDescent="0.25">
      <c r="C8" s="48"/>
      <c r="D8" s="49"/>
      <c r="E8" s="52" t="s">
        <v>25</v>
      </c>
      <c r="F8" s="52" t="s">
        <v>26</v>
      </c>
      <c r="G8" s="52" t="s">
        <v>33</v>
      </c>
      <c r="H8" s="52" t="s">
        <v>34</v>
      </c>
      <c r="I8" s="248" t="s">
        <v>27</v>
      </c>
      <c r="J8" s="248"/>
      <c r="K8" s="248"/>
      <c r="L8" s="249"/>
    </row>
    <row r="9" spans="3:18" ht="18" customHeight="1" x14ac:dyDescent="0.25">
      <c r="C9" s="60">
        <v>2001</v>
      </c>
      <c r="D9" s="61"/>
      <c r="E9" s="55">
        <v>7917.65</v>
      </c>
      <c r="F9" s="142">
        <v>8842.11</v>
      </c>
      <c r="G9" s="58" t="e">
        <f>+#REF!</f>
        <v>#REF!</v>
      </c>
      <c r="H9" s="58" t="e">
        <f>+#REF!</f>
        <v>#REF!</v>
      </c>
      <c r="I9" s="53" t="s">
        <v>25</v>
      </c>
      <c r="J9" s="53" t="s">
        <v>26</v>
      </c>
      <c r="K9" s="53" t="s">
        <v>33</v>
      </c>
      <c r="L9" s="54" t="s">
        <v>35</v>
      </c>
    </row>
    <row r="10" spans="3:18" ht="18" customHeight="1" x14ac:dyDescent="0.25">
      <c r="C10" s="60">
        <v>2002</v>
      </c>
      <c r="D10" s="61"/>
      <c r="E10" s="55">
        <v>8585.73</v>
      </c>
      <c r="F10" s="142">
        <v>9089.217499999997</v>
      </c>
      <c r="G10" s="58" t="e">
        <f>+#REF!</f>
        <v>#REF!</v>
      </c>
      <c r="H10" s="58" t="e">
        <f>+#REF!</f>
        <v>#REF!</v>
      </c>
      <c r="I10" s="56">
        <f>(E10/E9-1)*100</f>
        <v>8.437857192475029</v>
      </c>
      <c r="J10" s="56">
        <f>(F10/F9-1)*100</f>
        <v>2.7946666576190049</v>
      </c>
      <c r="K10" s="56" t="e">
        <f>(G10/G9-1)*100</f>
        <v>#REF!</v>
      </c>
      <c r="L10" s="57" t="e">
        <f>(H10/H9-1)*100</f>
        <v>#REF!</v>
      </c>
    </row>
    <row r="11" spans="3:18" ht="18" customHeight="1" x14ac:dyDescent="0.25">
      <c r="C11" s="60">
        <v>2003</v>
      </c>
      <c r="D11" s="61"/>
      <c r="E11" s="55">
        <v>10567.56</v>
      </c>
      <c r="F11" s="55">
        <v>9347.5833333333321</v>
      </c>
      <c r="G11" s="58" t="e">
        <f>+#REF!</f>
        <v>#REF!</v>
      </c>
      <c r="H11" s="58" t="e">
        <f>+#REF!</f>
        <v>#REF!</v>
      </c>
      <c r="I11" s="56">
        <f t="shared" ref="I11:I19" si="0">(E11/E10-1)*100</f>
        <v>23.08283628765404</v>
      </c>
      <c r="J11" s="56">
        <f t="shared" ref="J11:J19" si="1">(F11/F10-1)*100</f>
        <v>2.8425530947337796</v>
      </c>
      <c r="K11" s="56" t="e">
        <f t="shared" ref="K11:K19" si="2">(G11/G10-1)*100</f>
        <v>#REF!</v>
      </c>
      <c r="L11" s="57" t="e">
        <f>(H11/H10-1)*100</f>
        <v>#REF!</v>
      </c>
    </row>
    <row r="12" spans="3:18" ht="18" customHeight="1" x14ac:dyDescent="0.25">
      <c r="C12" s="60">
        <v>2004</v>
      </c>
      <c r="D12" s="61"/>
      <c r="E12" s="55">
        <v>12305.87</v>
      </c>
      <c r="F12" s="55">
        <v>9902.3241666666672</v>
      </c>
      <c r="G12" s="58" t="e">
        <f>+#REF!</f>
        <v>#REF!</v>
      </c>
      <c r="H12" s="58" t="e">
        <f>+#REF!</f>
        <v>#REF!</v>
      </c>
      <c r="I12" s="56">
        <f t="shared" si="0"/>
        <v>16.449492598102132</v>
      </c>
      <c r="J12" s="56">
        <f t="shared" si="1"/>
        <v>5.9345909370514871</v>
      </c>
      <c r="K12" s="56" t="e">
        <f t="shared" si="2"/>
        <v>#REF!</v>
      </c>
      <c r="L12" s="57" t="e">
        <f t="shared" ref="L12:L20" si="3">(H12/H11-1)*100</f>
        <v>#REF!</v>
      </c>
    </row>
    <row r="13" spans="3:18" ht="18" customHeight="1" x14ac:dyDescent="0.25">
      <c r="C13" s="60">
        <v>2005</v>
      </c>
      <c r="D13" s="61"/>
      <c r="E13" s="55">
        <v>13123.41</v>
      </c>
      <c r="F13" s="55">
        <v>10557.966881659209</v>
      </c>
      <c r="G13" s="58" t="e">
        <f>+#REF!</f>
        <v>#REF!</v>
      </c>
      <c r="H13" s="58" t="e">
        <f>+#REF!</f>
        <v>#REF!</v>
      </c>
      <c r="I13" s="56">
        <f t="shared" si="0"/>
        <v>6.6434961526490977</v>
      </c>
      <c r="J13" s="56">
        <f t="shared" si="1"/>
        <v>6.6210992889888853</v>
      </c>
      <c r="K13" s="56" t="e">
        <f t="shared" si="2"/>
        <v>#REF!</v>
      </c>
      <c r="L13" s="57" t="e">
        <f t="shared" si="3"/>
        <v>#REF!</v>
      </c>
    </row>
    <row r="14" spans="3:18" ht="18" customHeight="1" x14ac:dyDescent="0.25">
      <c r="C14" s="60">
        <v>2006</v>
      </c>
      <c r="D14" s="61"/>
      <c r="E14" s="55">
        <v>15629.73</v>
      </c>
      <c r="F14" s="55">
        <v>12448.478333333333</v>
      </c>
      <c r="G14" s="58" t="e">
        <f>+#REF!</f>
        <v>#REF!</v>
      </c>
      <c r="H14" s="58" t="e">
        <f>+#REF!</f>
        <v>#REF!</v>
      </c>
      <c r="I14" s="56">
        <f t="shared" si="0"/>
        <v>19.098085025157332</v>
      </c>
      <c r="J14" s="56">
        <f t="shared" si="1"/>
        <v>17.906018013356608</v>
      </c>
      <c r="K14" s="56" t="e">
        <f t="shared" si="2"/>
        <v>#REF!</v>
      </c>
      <c r="L14" s="57" t="e">
        <f t="shared" si="3"/>
        <v>#REF!</v>
      </c>
      <c r="R14" s="177" t="s">
        <v>44</v>
      </c>
    </row>
    <row r="15" spans="3:18" ht="18" customHeight="1" x14ac:dyDescent="0.25">
      <c r="C15" s="60">
        <v>2007</v>
      </c>
      <c r="D15" s="61"/>
      <c r="E15" s="55">
        <v>18558.11</v>
      </c>
      <c r="F15" s="55">
        <v>13536.757500000002</v>
      </c>
      <c r="G15" s="58" t="e">
        <f>+#REF!</f>
        <v>#REF!</v>
      </c>
      <c r="H15" s="58" t="e">
        <f>+#REF!</f>
        <v>#REF!</v>
      </c>
      <c r="I15" s="56">
        <f t="shared" si="0"/>
        <v>18.735960250113081</v>
      </c>
      <c r="J15" s="56">
        <f t="shared" si="1"/>
        <v>8.7422666250908776</v>
      </c>
      <c r="K15" s="56" t="e">
        <f t="shared" si="2"/>
        <v>#REF!</v>
      </c>
      <c r="L15" s="57" t="e">
        <f t="shared" si="3"/>
        <v>#REF!</v>
      </c>
    </row>
    <row r="16" spans="3:18" ht="18" customHeight="1" x14ac:dyDescent="0.25">
      <c r="C16" s="60">
        <v>2008</v>
      </c>
      <c r="D16" s="61"/>
      <c r="E16" s="55">
        <v>21616.42</v>
      </c>
      <c r="F16" s="55">
        <v>14695.204166666668</v>
      </c>
      <c r="G16" s="58" t="e">
        <f>+#REF!</f>
        <v>#REF!</v>
      </c>
      <c r="H16" s="58" t="e">
        <f>+#REF!</f>
        <v>#REF!</v>
      </c>
      <c r="I16" s="56">
        <f t="shared" si="0"/>
        <v>16.479641515218944</v>
      </c>
      <c r="J16" s="56">
        <f t="shared" si="1"/>
        <v>8.5577854716438964</v>
      </c>
      <c r="K16" s="56" t="e">
        <f t="shared" si="2"/>
        <v>#REF!</v>
      </c>
      <c r="L16" s="57" t="e">
        <f t="shared" si="3"/>
        <v>#REF!</v>
      </c>
    </row>
    <row r="17" spans="3:12" ht="18" customHeight="1" x14ac:dyDescent="0.25">
      <c r="C17" s="60">
        <v>2009</v>
      </c>
      <c r="D17" s="61"/>
      <c r="E17" s="55">
        <v>22549.1</v>
      </c>
      <c r="F17" s="55">
        <v>16208.451254005831</v>
      </c>
      <c r="G17" s="58" t="e">
        <f>+#REF!</f>
        <v>#REF!</v>
      </c>
      <c r="H17" s="58" t="e">
        <f>+#REF!</f>
        <v>#REF!</v>
      </c>
      <c r="I17" s="56">
        <f t="shared" si="0"/>
        <v>4.3146830048639062</v>
      </c>
      <c r="J17" s="56">
        <f t="shared" si="1"/>
        <v>10.297557421976355</v>
      </c>
      <c r="K17" s="56" t="e">
        <f t="shared" si="2"/>
        <v>#REF!</v>
      </c>
      <c r="L17" s="57" t="e">
        <f t="shared" si="3"/>
        <v>#REF!</v>
      </c>
    </row>
    <row r="18" spans="3:12" ht="18" customHeight="1" x14ac:dyDescent="0.25">
      <c r="C18" s="60">
        <v>2010</v>
      </c>
      <c r="D18" s="61"/>
      <c r="E18" s="55">
        <v>24500</v>
      </c>
      <c r="F18" s="55">
        <v>18574.033779346046</v>
      </c>
      <c r="G18" s="58" t="e">
        <f>+#REF!</f>
        <v>#REF!</v>
      </c>
      <c r="H18" s="58" t="e">
        <f>+#REF!</f>
        <v>#REF!</v>
      </c>
      <c r="I18" s="56">
        <f t="shared" si="0"/>
        <v>8.6517865458044962</v>
      </c>
      <c r="J18" s="56">
        <f t="shared" si="1"/>
        <v>14.594747445445</v>
      </c>
      <c r="K18" s="56" t="e">
        <f t="shared" si="2"/>
        <v>#REF!</v>
      </c>
      <c r="L18" s="57" t="e">
        <f t="shared" si="3"/>
        <v>#REF!</v>
      </c>
    </row>
    <row r="19" spans="3:12" ht="18" customHeight="1" x14ac:dyDescent="0.25">
      <c r="C19" s="60">
        <v>2011</v>
      </c>
      <c r="D19" s="61"/>
      <c r="E19" s="55">
        <v>24500</v>
      </c>
      <c r="F19" s="55">
        <v>17754.246182424256</v>
      </c>
      <c r="G19" s="58" t="e">
        <f>+#REF!</f>
        <v>#REF!</v>
      </c>
      <c r="H19" s="58" t="e">
        <f>+#REF!</f>
        <v>#REF!</v>
      </c>
      <c r="I19" s="56">
        <f t="shared" si="0"/>
        <v>0</v>
      </c>
      <c r="J19" s="56">
        <f t="shared" si="1"/>
        <v>-4.4136217617595674</v>
      </c>
      <c r="K19" s="56" t="e">
        <f t="shared" si="2"/>
        <v>#REF!</v>
      </c>
      <c r="L19" s="57" t="e">
        <f t="shared" si="3"/>
        <v>#REF!</v>
      </c>
    </row>
    <row r="20" spans="3:12" ht="18" customHeight="1" x14ac:dyDescent="0.25">
      <c r="C20" s="60">
        <v>2012</v>
      </c>
      <c r="D20" s="61"/>
      <c r="E20" s="55">
        <v>24500</v>
      </c>
      <c r="F20" s="55">
        <v>19211.429966850592</v>
      </c>
      <c r="G20" s="58" t="e">
        <f>+#REF!</f>
        <v>#REF!</v>
      </c>
      <c r="H20" s="56" t="e">
        <f>+#REF!</f>
        <v>#REF!</v>
      </c>
      <c r="I20" s="56">
        <f t="shared" ref="I20:K21" si="4">(E20/E19-1)*100</f>
        <v>0</v>
      </c>
      <c r="J20" s="56">
        <f t="shared" si="4"/>
        <v>8.2075226931846323</v>
      </c>
      <c r="K20" s="56" t="e">
        <f t="shared" si="4"/>
        <v>#REF!</v>
      </c>
      <c r="L20" s="57" t="e">
        <f t="shared" si="3"/>
        <v>#REF!</v>
      </c>
    </row>
    <row r="21" spans="3:12" ht="18" customHeight="1" x14ac:dyDescent="0.25">
      <c r="C21" s="60">
        <v>2013</v>
      </c>
      <c r="D21" s="61"/>
      <c r="E21" s="55">
        <v>24500</v>
      </c>
      <c r="F21" s="55">
        <f>+[25]Taxa_Cambio_USD_Dobra!$N$50</f>
        <v>18595.543308625231</v>
      </c>
      <c r="G21" s="58" t="e">
        <f>+#REF!</f>
        <v>#REF!</v>
      </c>
      <c r="H21" s="56" t="e">
        <f>+#REF!</f>
        <v>#REF!</v>
      </c>
      <c r="I21" s="56">
        <f t="shared" si="4"/>
        <v>0</v>
      </c>
      <c r="J21" s="56">
        <f t="shared" si="4"/>
        <v>-3.2058345437485758</v>
      </c>
      <c r="K21" s="56" t="e">
        <f t="shared" si="4"/>
        <v>#REF!</v>
      </c>
      <c r="L21" s="57" t="e">
        <f>(H21/H20-1)*100</f>
        <v>#REF!</v>
      </c>
    </row>
    <row r="22" spans="3:12" ht="18" hidden="1" customHeight="1" x14ac:dyDescent="0.25">
      <c r="C22" s="59"/>
      <c r="D22" s="70">
        <v>41275</v>
      </c>
      <c r="E22" s="55">
        <v>24500</v>
      </c>
      <c r="F22" s="55">
        <v>18583.208095238097</v>
      </c>
      <c r="G22" s="58" t="e">
        <f>+#REF!</f>
        <v>#REF!</v>
      </c>
      <c r="H22" s="58" t="e">
        <f>+#REF!</f>
        <v>#REF!</v>
      </c>
      <c r="I22" s="53"/>
      <c r="J22" s="53"/>
      <c r="K22" s="56"/>
      <c r="L22" s="54"/>
    </row>
    <row r="23" spans="3:12" ht="18" hidden="1" customHeight="1" x14ac:dyDescent="0.25">
      <c r="C23" s="59"/>
      <c r="D23" s="70">
        <v>41306</v>
      </c>
      <c r="E23" s="55">
        <v>24500</v>
      </c>
      <c r="F23" s="55">
        <v>18450.554499999998</v>
      </c>
      <c r="G23" s="58" t="e">
        <f>+#REF!</f>
        <v>#REF!</v>
      </c>
      <c r="H23" s="58" t="e">
        <f>+#REF!</f>
        <v>#REF!</v>
      </c>
      <c r="I23" s="56">
        <f>(E23/E22-1)*100</f>
        <v>0</v>
      </c>
      <c r="J23" s="56">
        <f>(F23/F22-1)*100</f>
        <v>-0.71383581649764327</v>
      </c>
      <c r="K23" s="56" t="e">
        <f>(G23/G22-1)*100</f>
        <v>#REF!</v>
      </c>
      <c r="L23" s="57" t="e">
        <f>(H23/H22-1)*100</f>
        <v>#REF!</v>
      </c>
    </row>
    <row r="24" spans="3:12" ht="18" hidden="1" customHeight="1" x14ac:dyDescent="0.25">
      <c r="C24" s="59"/>
      <c r="D24" s="70">
        <v>41334</v>
      </c>
      <c r="E24" s="55">
        <v>24500</v>
      </c>
      <c r="F24" s="55">
        <v>19030.129047619048</v>
      </c>
      <c r="G24" s="58" t="e">
        <f>+#REF!</f>
        <v>#REF!</v>
      </c>
      <c r="H24" s="58" t="e">
        <f>+#REF!</f>
        <v>#REF!</v>
      </c>
      <c r="I24" s="56">
        <f t="shared" ref="I24:J38" si="5">(E24/E23-1)*100</f>
        <v>0</v>
      </c>
      <c r="J24" s="56">
        <f t="shared" si="5"/>
        <v>3.1412310541618194</v>
      </c>
      <c r="K24" s="56" t="e">
        <f t="shared" ref="K24:L32" si="6">(G24/G23-1)*100</f>
        <v>#REF!</v>
      </c>
      <c r="L24" s="57" t="e">
        <f t="shared" si="6"/>
        <v>#REF!</v>
      </c>
    </row>
    <row r="25" spans="3:12" ht="18" hidden="1" customHeight="1" x14ac:dyDescent="0.25">
      <c r="C25" s="59"/>
      <c r="D25" s="70">
        <v>41365</v>
      </c>
      <c r="E25" s="55">
        <v>24500</v>
      </c>
      <c r="F25" s="55">
        <v>18983.309545454544</v>
      </c>
      <c r="G25" s="58" t="e">
        <f>+#REF!</f>
        <v>#REF!</v>
      </c>
      <c r="H25" s="58" t="e">
        <f>+#REF!</f>
        <v>#REF!</v>
      </c>
      <c r="I25" s="56">
        <f t="shared" si="5"/>
        <v>0</v>
      </c>
      <c r="J25" s="56">
        <f t="shared" si="5"/>
        <v>-0.24602829569546625</v>
      </c>
      <c r="K25" s="56" t="e">
        <f t="shared" si="6"/>
        <v>#REF!</v>
      </c>
      <c r="L25" s="57" t="e">
        <f t="shared" si="6"/>
        <v>#REF!</v>
      </c>
    </row>
    <row r="26" spans="3:12" ht="18" hidden="1" customHeight="1" x14ac:dyDescent="0.25">
      <c r="C26" s="59"/>
      <c r="D26" s="70">
        <v>41395</v>
      </c>
      <c r="E26" s="55">
        <v>24500</v>
      </c>
      <c r="F26" s="55">
        <v>19010.566818181818</v>
      </c>
      <c r="G26" s="58" t="e">
        <f>+#REF!</f>
        <v>#REF!</v>
      </c>
      <c r="H26" s="58" t="e">
        <f>+#REF!</f>
        <v>#REF!</v>
      </c>
      <c r="I26" s="56">
        <f t="shared" si="5"/>
        <v>0</v>
      </c>
      <c r="J26" s="56">
        <f t="shared" si="5"/>
        <v>0.14358546207133838</v>
      </c>
      <c r="K26" s="56" t="e">
        <f t="shared" si="6"/>
        <v>#REF!</v>
      </c>
      <c r="L26" s="57" t="e">
        <f t="shared" si="6"/>
        <v>#REF!</v>
      </c>
    </row>
    <row r="27" spans="3:12" ht="18" hidden="1" customHeight="1" x14ac:dyDescent="0.25">
      <c r="C27" s="59"/>
      <c r="D27" s="70">
        <v>41426</v>
      </c>
      <c r="E27" s="55">
        <v>24500</v>
      </c>
      <c r="F27" s="55">
        <v>18722.699000000001</v>
      </c>
      <c r="G27" s="58" t="e">
        <f>+#REF!</f>
        <v>#REF!</v>
      </c>
      <c r="H27" s="58" t="e">
        <f>+#REF!</f>
        <v>#REF!</v>
      </c>
      <c r="I27" s="56">
        <f t="shared" si="5"/>
        <v>0</v>
      </c>
      <c r="J27" s="56">
        <f t="shared" si="5"/>
        <v>-1.5142516313953358</v>
      </c>
      <c r="K27" s="56" t="e">
        <f t="shared" si="6"/>
        <v>#REF!</v>
      </c>
      <c r="L27" s="57" t="e">
        <f t="shared" si="6"/>
        <v>#REF!</v>
      </c>
    </row>
    <row r="28" spans="3:12" ht="18" hidden="1" customHeight="1" x14ac:dyDescent="0.25">
      <c r="C28" s="59"/>
      <c r="D28" s="70">
        <v>41456</v>
      </c>
      <c r="E28" s="55">
        <v>24500</v>
      </c>
      <c r="F28" s="55">
        <v>18883.082727272726</v>
      </c>
      <c r="G28" s="58" t="e">
        <f>+#REF!</f>
        <v>#REF!</v>
      </c>
      <c r="H28" s="58" t="e">
        <f>+#REF!</f>
        <v>#REF!</v>
      </c>
      <c r="I28" s="56">
        <f t="shared" si="5"/>
        <v>0</v>
      </c>
      <c r="J28" s="56">
        <f t="shared" si="5"/>
        <v>0.85662717363947927</v>
      </c>
      <c r="K28" s="56" t="e">
        <f t="shared" si="6"/>
        <v>#REF!</v>
      </c>
      <c r="L28" s="57" t="e">
        <f t="shared" si="6"/>
        <v>#REF!</v>
      </c>
    </row>
    <row r="29" spans="3:12" ht="18" hidden="1" customHeight="1" x14ac:dyDescent="0.25">
      <c r="C29" s="59"/>
      <c r="D29" s="70">
        <v>41487</v>
      </c>
      <c r="E29" s="55">
        <v>24500</v>
      </c>
      <c r="F29" s="55">
        <v>18543.70409090909</v>
      </c>
      <c r="G29" s="58" t="e">
        <f>+#REF!</f>
        <v>#REF!</v>
      </c>
      <c r="H29" s="58" t="e">
        <f>+#REF!</f>
        <v>#REF!</v>
      </c>
      <c r="I29" s="56">
        <f t="shared" si="5"/>
        <v>0</v>
      </c>
      <c r="J29" s="56">
        <f t="shared" si="5"/>
        <v>-1.7972628795057566</v>
      </c>
      <c r="K29" s="56" t="e">
        <f t="shared" si="6"/>
        <v>#REF!</v>
      </c>
      <c r="L29" s="57" t="e">
        <f t="shared" si="6"/>
        <v>#REF!</v>
      </c>
    </row>
    <row r="30" spans="3:12" ht="18" hidden="1" customHeight="1" x14ac:dyDescent="0.25">
      <c r="C30" s="59"/>
      <c r="D30" s="70">
        <v>41518</v>
      </c>
      <c r="E30" s="55">
        <v>24500</v>
      </c>
      <c r="F30" s="55">
        <v>18510.983684210529</v>
      </c>
      <c r="G30" s="58" t="e">
        <f>+#REF!</f>
        <v>#REF!</v>
      </c>
      <c r="H30" s="58" t="e">
        <f>+#REF!</f>
        <v>#REF!</v>
      </c>
      <c r="I30" s="56">
        <f t="shared" si="5"/>
        <v>0</v>
      </c>
      <c r="J30" s="56">
        <f t="shared" si="5"/>
        <v>-0.1764502201833662</v>
      </c>
      <c r="K30" s="56" t="e">
        <f t="shared" si="6"/>
        <v>#REF!</v>
      </c>
      <c r="L30" s="57" t="e">
        <f>(H30/H29-1)*100</f>
        <v>#REF!</v>
      </c>
    </row>
    <row r="31" spans="3:12" ht="18" hidden="1" customHeight="1" x14ac:dyDescent="0.25">
      <c r="C31" s="59"/>
      <c r="D31" s="70">
        <v>41548</v>
      </c>
      <c r="E31" s="55">
        <v>24500</v>
      </c>
      <c r="F31" s="55">
        <v>18110.236956521741</v>
      </c>
      <c r="G31" s="58" t="e">
        <f>+#REF!</f>
        <v>#REF!</v>
      </c>
      <c r="H31" s="58" t="e">
        <f>+#REF!</f>
        <v>#REF!</v>
      </c>
      <c r="I31" s="56">
        <f t="shared" si="5"/>
        <v>0</v>
      </c>
      <c r="J31" s="56">
        <f t="shared" si="5"/>
        <v>-2.164913191677742</v>
      </c>
      <c r="K31" s="56" t="e">
        <f t="shared" si="6"/>
        <v>#REF!</v>
      </c>
      <c r="L31" s="57" t="e">
        <f>(H31/H30-1)*100</f>
        <v>#REF!</v>
      </c>
    </row>
    <row r="32" spans="3:12" ht="18" hidden="1" customHeight="1" x14ac:dyDescent="0.25">
      <c r="C32" s="59"/>
      <c r="D32" s="70">
        <v>41579</v>
      </c>
      <c r="E32" s="55">
        <v>24500</v>
      </c>
      <c r="F32" s="55">
        <v>18292.38380952381</v>
      </c>
      <c r="G32" s="58" t="e">
        <f>+#REF!</f>
        <v>#REF!</v>
      </c>
      <c r="H32" s="58" t="e">
        <f>+#REF!</f>
        <v>#REF!</v>
      </c>
      <c r="I32" s="56">
        <f t="shared" si="5"/>
        <v>0</v>
      </c>
      <c r="J32" s="56">
        <f t="shared" si="5"/>
        <v>1.005767364829957</v>
      </c>
      <c r="K32" s="56" t="e">
        <f t="shared" si="6"/>
        <v>#REF!</v>
      </c>
      <c r="L32" s="57" t="e">
        <f t="shared" si="6"/>
        <v>#REF!</v>
      </c>
    </row>
    <row r="33" spans="3:12" ht="18" hidden="1" customHeight="1" x14ac:dyDescent="0.25">
      <c r="C33" s="59"/>
      <c r="D33" s="70">
        <v>41609</v>
      </c>
      <c r="E33" s="55">
        <v>24500</v>
      </c>
      <c r="F33" s="55">
        <v>18025.661428571435</v>
      </c>
      <c r="G33" s="58" t="e">
        <f>+#REF!</f>
        <v>#REF!</v>
      </c>
      <c r="H33" s="58" t="e">
        <f>+#REF!</f>
        <v>#REF!</v>
      </c>
      <c r="I33" s="56">
        <f>(E33/E32-1)*100</f>
        <v>0</v>
      </c>
      <c r="J33" s="56">
        <f>(F33/F32-1)*100</f>
        <v>-1.4581061917884552</v>
      </c>
      <c r="K33" s="56" t="e">
        <f>(G33/G32-1)*100</f>
        <v>#REF!</v>
      </c>
      <c r="L33" s="57" t="e">
        <f>(H33/H32-1)*100</f>
        <v>#REF!</v>
      </c>
    </row>
    <row r="34" spans="3:12" ht="18" customHeight="1" x14ac:dyDescent="0.25">
      <c r="C34" s="60">
        <v>2014</v>
      </c>
      <c r="D34" s="61"/>
      <c r="E34" s="55">
        <v>24500</v>
      </c>
      <c r="F34" s="55">
        <f>+[25]Taxa_Cambio_USD_Dobra!$O$50</f>
        <v>18593.920434073902</v>
      </c>
      <c r="G34" s="58" t="e">
        <f>+#REF!</f>
        <v>#REF!</v>
      </c>
      <c r="H34" s="58" t="e">
        <f>+#REF!</f>
        <v>#REF!</v>
      </c>
      <c r="I34" s="56">
        <f>(E34/E21-1)*100</f>
        <v>0</v>
      </c>
      <c r="J34" s="56">
        <f>(F34/F21-1)*100</f>
        <v>-8.7272231006907397E-3</v>
      </c>
      <c r="K34" s="56" t="e">
        <f>(G34/G21-1)*100</f>
        <v>#REF!</v>
      </c>
      <c r="L34" s="57" t="e">
        <f>(H34/H21-1)*100</f>
        <v>#REF!</v>
      </c>
    </row>
    <row r="35" spans="3:12" ht="18" hidden="1" customHeight="1" x14ac:dyDescent="0.25">
      <c r="C35" s="59"/>
      <c r="D35" s="70">
        <v>41640</v>
      </c>
      <c r="E35" s="55">
        <v>24500</v>
      </c>
      <c r="F35" s="55">
        <v>18119.813181818183</v>
      </c>
      <c r="G35" s="58" t="e">
        <f>#REF!</f>
        <v>#REF!</v>
      </c>
      <c r="H35" s="58" t="e">
        <f>#REF!</f>
        <v>#REF!</v>
      </c>
      <c r="I35" s="56">
        <f>(E35/E33-1)*100</f>
        <v>0</v>
      </c>
      <c r="J35" s="56">
        <f>(F35/F33-1)*100</f>
        <v>0.52232065724653332</v>
      </c>
      <c r="K35" s="56" t="e">
        <f>(G35/G33-1)*100</f>
        <v>#REF!</v>
      </c>
      <c r="L35" s="57" t="e">
        <f>(H35/H33-1)*100</f>
        <v>#REF!</v>
      </c>
    </row>
    <row r="36" spans="3:12" ht="18" hidden="1" customHeight="1" x14ac:dyDescent="0.25">
      <c r="C36" s="59"/>
      <c r="D36" s="70">
        <v>41671</v>
      </c>
      <c r="E36" s="55">
        <v>24500</v>
      </c>
      <c r="F36" s="55">
        <v>18082.282105263159</v>
      </c>
      <c r="G36" s="58" t="e">
        <f>#REF!</f>
        <v>#REF!</v>
      </c>
      <c r="H36" s="58" t="e">
        <f>#REF!</f>
        <v>#REF!</v>
      </c>
      <c r="I36" s="56">
        <f>(E36/E35-1)*100</f>
        <v>0</v>
      </c>
      <c r="J36" s="56">
        <f>(F36/F35-1)*100</f>
        <v>-0.20712728204440589</v>
      </c>
      <c r="K36" s="56" t="e">
        <f>(G36/G35-1)*100</f>
        <v>#REF!</v>
      </c>
      <c r="L36" s="57" t="e">
        <f>(H36/H35-1)*100</f>
        <v>#REF!</v>
      </c>
    </row>
    <row r="37" spans="3:12" ht="18" hidden="1" customHeight="1" x14ac:dyDescent="0.25">
      <c r="C37" s="59"/>
      <c r="D37" s="70">
        <v>41699</v>
      </c>
      <c r="E37" s="55">
        <v>24500</v>
      </c>
      <c r="F37" s="55">
        <v>17852.32</v>
      </c>
      <c r="G37" s="58" t="e">
        <f>#REF!</f>
        <v>#REF!</v>
      </c>
      <c r="H37" s="58" t="e">
        <f>#REF!</f>
        <v>#REF!</v>
      </c>
      <c r="I37" s="56">
        <f t="shared" si="5"/>
        <v>0</v>
      </c>
      <c r="J37" s="56">
        <f t="shared" si="5"/>
        <v>-1.2717537749077801</v>
      </c>
      <c r="K37" s="56" t="e">
        <f t="shared" ref="K37:L45" si="7">(G37/G36-1)*100</f>
        <v>#REF!</v>
      </c>
      <c r="L37" s="57" t="e">
        <f t="shared" si="7"/>
        <v>#REF!</v>
      </c>
    </row>
    <row r="38" spans="3:12" ht="18" hidden="1" customHeight="1" x14ac:dyDescent="0.25">
      <c r="C38" s="59"/>
      <c r="D38" s="70">
        <v>41730</v>
      </c>
      <c r="E38" s="55">
        <v>24500</v>
      </c>
      <c r="F38" s="55">
        <v>17871.768421052635</v>
      </c>
      <c r="G38" s="58" t="e">
        <f>#REF!</f>
        <v>#REF!</v>
      </c>
      <c r="H38" s="58" t="e">
        <f>#REF!</f>
        <v>#REF!</v>
      </c>
      <c r="I38" s="56">
        <f t="shared" si="5"/>
        <v>0</v>
      </c>
      <c r="J38" s="56">
        <f t="shared" si="5"/>
        <v>0.10894058056676315</v>
      </c>
      <c r="K38" s="56" t="e">
        <f t="shared" si="7"/>
        <v>#REF!</v>
      </c>
      <c r="L38" s="57" t="e">
        <f>(H38/H37-1)*100</f>
        <v>#REF!</v>
      </c>
    </row>
    <row r="39" spans="3:12" ht="18" hidden="1" customHeight="1" x14ac:dyDescent="0.25">
      <c r="C39" s="59"/>
      <c r="D39" s="70">
        <v>41760</v>
      </c>
      <c r="E39" s="55">
        <v>24500</v>
      </c>
      <c r="F39" s="55">
        <v>17961.191666666669</v>
      </c>
      <c r="G39" s="58" t="e">
        <f>#REF!</f>
        <v>#REF!</v>
      </c>
      <c r="H39" s="58" t="e">
        <f>#REF!</f>
        <v>#REF!</v>
      </c>
      <c r="I39" s="56">
        <f t="shared" ref="I39:J59" si="8">(E39/E38-1)*100</f>
        <v>0</v>
      </c>
      <c r="J39" s="56">
        <f t="shared" si="8"/>
        <v>0.50036036449920829</v>
      </c>
      <c r="K39" s="56" t="e">
        <f t="shared" si="7"/>
        <v>#REF!</v>
      </c>
      <c r="L39" s="57" t="e">
        <f t="shared" si="7"/>
        <v>#REF!</v>
      </c>
    </row>
    <row r="40" spans="3:12" ht="18" hidden="1" customHeight="1" x14ac:dyDescent="0.25">
      <c r="C40" s="59"/>
      <c r="D40" s="70">
        <v>41791</v>
      </c>
      <c r="E40" s="55">
        <v>24500</v>
      </c>
      <c r="F40" s="55">
        <v>18165.373</v>
      </c>
      <c r="G40" s="58" t="e">
        <f>#REF!</f>
        <v>#REF!</v>
      </c>
      <c r="H40" s="58" t="e">
        <f>#REF!</f>
        <v>#REF!</v>
      </c>
      <c r="I40" s="56">
        <f t="shared" si="8"/>
        <v>0</v>
      </c>
      <c r="J40" s="56">
        <f t="shared" si="8"/>
        <v>1.136791684664562</v>
      </c>
      <c r="K40" s="56" t="e">
        <f t="shared" si="7"/>
        <v>#REF!</v>
      </c>
      <c r="L40" s="57" t="e">
        <f t="shared" si="7"/>
        <v>#REF!</v>
      </c>
    </row>
    <row r="41" spans="3:12" ht="18" hidden="1" customHeight="1" x14ac:dyDescent="0.25">
      <c r="C41" s="59"/>
      <c r="D41" s="70">
        <v>41821</v>
      </c>
      <c r="E41" s="55">
        <v>24500</v>
      </c>
      <c r="F41" s="55">
        <v>18215.712608695652</v>
      </c>
      <c r="G41" s="58" t="e">
        <f>#REF!</f>
        <v>#REF!</v>
      </c>
      <c r="H41" s="58" t="e">
        <f>#REF!</f>
        <v>#REF!</v>
      </c>
      <c r="I41" s="56">
        <f t="shared" si="8"/>
        <v>0</v>
      </c>
      <c r="J41" s="56">
        <f t="shared" si="8"/>
        <v>0.27711849735017058</v>
      </c>
      <c r="K41" s="56" t="e">
        <f t="shared" si="7"/>
        <v>#REF!</v>
      </c>
      <c r="L41" s="57" t="e">
        <f t="shared" si="7"/>
        <v>#REF!</v>
      </c>
    </row>
    <row r="42" spans="3:12" ht="18" hidden="1" customHeight="1" x14ac:dyDescent="0.25">
      <c r="C42" s="59"/>
      <c r="D42" s="70">
        <v>41852</v>
      </c>
      <c r="E42" s="55">
        <v>24500</v>
      </c>
      <c r="F42" s="55">
        <v>18524.765714285717</v>
      </c>
      <c r="G42" s="58" t="e">
        <f>#REF!</f>
        <v>#REF!</v>
      </c>
      <c r="H42" s="58" t="e">
        <f>#REF!</f>
        <v>#REF!</v>
      </c>
      <c r="I42" s="56">
        <f t="shared" si="8"/>
        <v>0</v>
      </c>
      <c r="J42" s="56">
        <f t="shared" si="8"/>
        <v>1.6966292355893531</v>
      </c>
      <c r="K42" s="56" t="e">
        <f t="shared" si="7"/>
        <v>#REF!</v>
      </c>
      <c r="L42" s="57" t="e">
        <f t="shared" si="7"/>
        <v>#REF!</v>
      </c>
    </row>
    <row r="43" spans="3:12" ht="18" hidden="1" customHeight="1" x14ac:dyDescent="0.25">
      <c r="C43" s="59"/>
      <c r="D43" s="70">
        <v>41883</v>
      </c>
      <c r="E43" s="55">
        <v>24500</v>
      </c>
      <c r="F43" s="55">
        <v>19077.663809523809</v>
      </c>
      <c r="G43" s="58" t="e">
        <f>#REF!</f>
        <v>#REF!</v>
      </c>
      <c r="H43" s="58" t="e">
        <f>#REF!</f>
        <v>#REF!</v>
      </c>
      <c r="I43" s="56">
        <f t="shared" si="8"/>
        <v>0</v>
      </c>
      <c r="J43" s="56">
        <f t="shared" si="8"/>
        <v>2.984642849284258</v>
      </c>
      <c r="K43" s="56" t="e">
        <f t="shared" si="7"/>
        <v>#REF!</v>
      </c>
      <c r="L43" s="57" t="e">
        <f t="shared" si="7"/>
        <v>#REF!</v>
      </c>
    </row>
    <row r="44" spans="3:12" ht="18" hidden="1" customHeight="1" x14ac:dyDescent="0.25">
      <c r="C44" s="59"/>
      <c r="D44" s="70">
        <v>41913</v>
      </c>
      <c r="E44" s="55">
        <v>24500</v>
      </c>
      <c r="F44" s="55">
        <v>19466.529565217392</v>
      </c>
      <c r="G44" s="58" t="e">
        <f>#REF!</f>
        <v>#REF!</v>
      </c>
      <c r="H44" s="58" t="e">
        <f>#REF!</f>
        <v>#REF!</v>
      </c>
      <c r="I44" s="56">
        <f t="shared" si="8"/>
        <v>0</v>
      </c>
      <c r="J44" s="56">
        <f t="shared" si="8"/>
        <v>2.0383300574751573</v>
      </c>
      <c r="K44" s="56" t="e">
        <f t="shared" si="7"/>
        <v>#REF!</v>
      </c>
      <c r="L44" s="57" t="e">
        <f t="shared" si="7"/>
        <v>#REF!</v>
      </c>
    </row>
    <row r="45" spans="3:12" ht="18" hidden="1" customHeight="1" x14ac:dyDescent="0.25">
      <c r="C45" s="59"/>
      <c r="D45" s="70">
        <v>41944</v>
      </c>
      <c r="E45" s="55">
        <v>24500</v>
      </c>
      <c r="F45" s="55">
        <v>19787.996500000001</v>
      </c>
      <c r="G45" s="58" t="e">
        <f>#REF!</f>
        <v>#REF!</v>
      </c>
      <c r="H45" s="58" t="e">
        <f>#REF!</f>
        <v>#REF!</v>
      </c>
      <c r="I45" s="56">
        <f t="shared" si="8"/>
        <v>0</v>
      </c>
      <c r="J45" s="56">
        <f t="shared" si="8"/>
        <v>1.6513828708174305</v>
      </c>
      <c r="K45" s="56" t="e">
        <f t="shared" si="7"/>
        <v>#REF!</v>
      </c>
      <c r="L45" s="57" t="e">
        <f t="shared" si="7"/>
        <v>#REF!</v>
      </c>
    </row>
    <row r="46" spans="3:12" ht="18" hidden="1" customHeight="1" x14ac:dyDescent="0.25">
      <c r="C46" s="59"/>
      <c r="D46" s="70">
        <v>41974</v>
      </c>
      <c r="E46" s="55">
        <v>24500</v>
      </c>
      <c r="F46" s="55">
        <v>20001.628636363635</v>
      </c>
      <c r="G46" s="58" t="e">
        <f>#REF!</f>
        <v>#REF!</v>
      </c>
      <c r="H46" s="58" t="e">
        <f>#REF!</f>
        <v>#REF!</v>
      </c>
      <c r="I46" s="56">
        <f>(E46/E45-1)*100</f>
        <v>0</v>
      </c>
      <c r="J46" s="56">
        <f>(F46/F45-1)*100</f>
        <v>1.0796046803608128</v>
      </c>
      <c r="K46" s="56" t="e">
        <f>(G46/G45-1)*100</f>
        <v>#REF!</v>
      </c>
      <c r="L46" s="57" t="e">
        <f>(H46/H45-1)*100</f>
        <v>#REF!</v>
      </c>
    </row>
    <row r="47" spans="3:12" ht="18" customHeight="1" thickBot="1" x14ac:dyDescent="0.3">
      <c r="C47" s="143">
        <v>2015</v>
      </c>
      <c r="D47" s="144"/>
      <c r="E47" s="65">
        <v>24500</v>
      </c>
      <c r="F47" s="65">
        <f>+[25]Taxa_Cambio_USD_Dobra!$P$50</f>
        <v>22243.849394471024</v>
      </c>
      <c r="G47" s="85" t="e">
        <f>+#REF!</f>
        <v>#REF!</v>
      </c>
      <c r="H47" s="85" t="e">
        <f>+#REF!</f>
        <v>#REF!</v>
      </c>
      <c r="I47" s="66">
        <f>(E47/E34-1)*100</f>
        <v>0</v>
      </c>
      <c r="J47" s="66">
        <f>(F47/F34-1)*100</f>
        <v>19.629690109400077</v>
      </c>
      <c r="K47" s="66" t="e">
        <f>(G47/G34-1)*100</f>
        <v>#REF!</v>
      </c>
      <c r="L47" s="67" t="e">
        <f>(H47/H34-1)*100</f>
        <v>#REF!</v>
      </c>
    </row>
    <row r="48" spans="3:12" ht="18" hidden="1" customHeight="1" x14ac:dyDescent="0.25">
      <c r="C48" s="59"/>
      <c r="D48" s="70">
        <v>42005</v>
      </c>
      <c r="E48" s="55">
        <v>24500</v>
      </c>
      <c r="F48" s="55">
        <v>21090.220999999998</v>
      </c>
      <c r="G48" s="58" t="e">
        <f>#REF!</f>
        <v>#REF!</v>
      </c>
      <c r="H48" s="58" t="e">
        <f>#REF!</f>
        <v>#REF!</v>
      </c>
      <c r="I48" s="56">
        <f>(E48/E46-1)*100</f>
        <v>0</v>
      </c>
      <c r="J48" s="56">
        <f>(F48/F46-1)*100</f>
        <v>5.4425186239947632</v>
      </c>
      <c r="K48" s="56" t="e">
        <f>(G48/G46-1)*100</f>
        <v>#REF!</v>
      </c>
      <c r="L48" s="57" t="e">
        <f>(H48/H46-1)*100</f>
        <v>#REF!</v>
      </c>
    </row>
    <row r="49" spans="3:15" ht="18" hidden="1" customHeight="1" x14ac:dyDescent="0.25">
      <c r="C49" s="59"/>
      <c r="D49" s="70">
        <v>42036</v>
      </c>
      <c r="E49" s="55">
        <v>24500</v>
      </c>
      <c r="F49" s="55">
        <v>21745.043157894739</v>
      </c>
      <c r="G49" s="58" t="e">
        <f>#REF!</f>
        <v>#REF!</v>
      </c>
      <c r="H49" s="58" t="e">
        <f>#REF!</f>
        <v>#REF!</v>
      </c>
      <c r="I49" s="56">
        <f>(E49/E48-1)*100</f>
        <v>0</v>
      </c>
      <c r="J49" s="56">
        <f t="shared" si="8"/>
        <v>3.1048615275048208</v>
      </c>
      <c r="K49" s="56" t="e">
        <f>(G49/G48-1)*100</f>
        <v>#REF!</v>
      </c>
      <c r="L49" s="57" t="e">
        <f>(H49/H48-1)*100</f>
        <v>#REF!</v>
      </c>
    </row>
    <row r="50" spans="3:15" ht="18" hidden="1" customHeight="1" x14ac:dyDescent="0.25">
      <c r="C50" s="59"/>
      <c r="D50" s="70">
        <v>42064</v>
      </c>
      <c r="E50" s="55">
        <v>24500</v>
      </c>
      <c r="F50" s="55">
        <v>22739.006818181813</v>
      </c>
      <c r="G50" s="58" t="e">
        <f>#REF!</f>
        <v>#REF!</v>
      </c>
      <c r="H50" s="58" t="e">
        <f>#REF!</f>
        <v>#REF!</v>
      </c>
      <c r="I50" s="56">
        <f t="shared" si="8"/>
        <v>0</v>
      </c>
      <c r="J50" s="56">
        <f t="shared" si="8"/>
        <v>4.5709895955125202</v>
      </c>
      <c r="K50" s="56" t="e">
        <f t="shared" ref="K50:L58" si="9">(G50/G49-1)*100</f>
        <v>#REF!</v>
      </c>
      <c r="L50" s="57" t="e">
        <f t="shared" si="9"/>
        <v>#REF!</v>
      </c>
    </row>
    <row r="51" spans="3:15" ht="18" hidden="1" customHeight="1" x14ac:dyDescent="0.25">
      <c r="C51" s="59"/>
      <c r="D51" s="70">
        <v>42095</v>
      </c>
      <c r="E51" s="55">
        <v>24500</v>
      </c>
      <c r="F51" s="55">
        <v>22936.109545454543</v>
      </c>
      <c r="G51" s="58" t="e">
        <f>#REF!</f>
        <v>#REF!</v>
      </c>
      <c r="H51" s="58" t="e">
        <f>#REF!</f>
        <v>#REF!</v>
      </c>
      <c r="I51" s="56">
        <f t="shared" si="8"/>
        <v>0</v>
      </c>
      <c r="J51" s="56">
        <f t="shared" si="8"/>
        <v>0.86680446885274431</v>
      </c>
      <c r="K51" s="56" t="e">
        <f t="shared" si="9"/>
        <v>#REF!</v>
      </c>
      <c r="L51" s="57" t="e">
        <f t="shared" si="9"/>
        <v>#REF!</v>
      </c>
    </row>
    <row r="52" spans="3:15" ht="18" hidden="1" customHeight="1" x14ac:dyDescent="0.25">
      <c r="C52" s="59"/>
      <c r="D52" s="70">
        <v>42125</v>
      </c>
      <c r="E52" s="55">
        <v>24500</v>
      </c>
      <c r="F52" s="55">
        <v>22118.911</v>
      </c>
      <c r="G52" s="58" t="e">
        <f>#REF!</f>
        <v>#REF!</v>
      </c>
      <c r="H52" s="58" t="e">
        <f>#REF!</f>
        <v>#REF!</v>
      </c>
      <c r="I52" s="56">
        <f t="shared" si="8"/>
        <v>0</v>
      </c>
      <c r="J52" s="56">
        <f t="shared" si="8"/>
        <v>-3.5629344367885341</v>
      </c>
      <c r="K52" s="56" t="e">
        <f t="shared" si="9"/>
        <v>#REF!</v>
      </c>
      <c r="L52" s="57" t="e">
        <f t="shared" si="9"/>
        <v>#REF!</v>
      </c>
    </row>
    <row r="53" spans="3:15" ht="18" hidden="1" customHeight="1" x14ac:dyDescent="0.25">
      <c r="C53" s="59"/>
      <c r="D53" s="70">
        <v>42156</v>
      </c>
      <c r="E53" s="55">
        <v>24500</v>
      </c>
      <c r="F53" s="55">
        <v>22034.725909090899</v>
      </c>
      <c r="G53" s="58" t="e">
        <f>#REF!</f>
        <v>#REF!</v>
      </c>
      <c r="H53" s="58" t="e">
        <f>#REF!</f>
        <v>#REF!</v>
      </c>
      <c r="I53" s="56">
        <f t="shared" si="8"/>
        <v>0</v>
      </c>
      <c r="J53" s="56">
        <f t="shared" si="8"/>
        <v>-0.38060233123186071</v>
      </c>
      <c r="K53" s="56" t="e">
        <f t="shared" si="9"/>
        <v>#REF!</v>
      </c>
      <c r="L53" s="57" t="e">
        <f t="shared" si="9"/>
        <v>#REF!</v>
      </c>
    </row>
    <row r="54" spans="3:15" ht="18" hidden="1" customHeight="1" x14ac:dyDescent="0.25">
      <c r="C54" s="59"/>
      <c r="D54" s="70">
        <v>42186</v>
      </c>
      <c r="E54" s="55">
        <v>24500</v>
      </c>
      <c r="F54" s="55">
        <v>22446.694090909088</v>
      </c>
      <c r="G54" s="58" t="e">
        <f>#REF!</f>
        <v>#REF!</v>
      </c>
      <c r="H54" s="58" t="e">
        <f>#REF!</f>
        <v>#REF!</v>
      </c>
      <c r="I54" s="56">
        <f t="shared" si="8"/>
        <v>0</v>
      </c>
      <c r="J54" s="56">
        <f t="shared" si="8"/>
        <v>1.8696315239765449</v>
      </c>
      <c r="K54" s="56" t="e">
        <f t="shared" si="9"/>
        <v>#REF!</v>
      </c>
      <c r="L54" s="57" t="e">
        <f t="shared" si="9"/>
        <v>#REF!</v>
      </c>
    </row>
    <row r="55" spans="3:15" ht="18" hidden="1" customHeight="1" x14ac:dyDescent="0.25">
      <c r="C55" s="59"/>
      <c r="D55" s="70">
        <v>42217</v>
      </c>
      <c r="E55" s="55">
        <v>24500</v>
      </c>
      <c r="F55" s="55">
        <v>22189.170476190477</v>
      </c>
      <c r="G55" s="58" t="e">
        <f>#REF!</f>
        <v>#REF!</v>
      </c>
      <c r="H55" s="58" t="e">
        <f>#REF!</f>
        <v>#REF!</v>
      </c>
      <c r="I55" s="56">
        <f t="shared" si="8"/>
        <v>0</v>
      </c>
      <c r="J55" s="56">
        <f t="shared" si="8"/>
        <v>-1.1472674491648571</v>
      </c>
      <c r="K55" s="56" t="e">
        <f t="shared" si="9"/>
        <v>#REF!</v>
      </c>
      <c r="L55" s="57" t="e">
        <f t="shared" si="9"/>
        <v>#REF!</v>
      </c>
    </row>
    <row r="56" spans="3:15" ht="18" hidden="1" customHeight="1" x14ac:dyDescent="0.25">
      <c r="C56" s="59"/>
      <c r="D56" s="70">
        <v>42248</v>
      </c>
      <c r="E56" s="55">
        <v>24500</v>
      </c>
      <c r="F56" s="55">
        <v>21995.646666666664</v>
      </c>
      <c r="G56" s="58" t="e">
        <f>#REF!</f>
        <v>#REF!</v>
      </c>
      <c r="H56" s="58" t="e">
        <f>#REF!</f>
        <v>#REF!</v>
      </c>
      <c r="I56" s="56">
        <f t="shared" si="8"/>
        <v>0</v>
      </c>
      <c r="J56" s="56">
        <f t="shared" si="8"/>
        <v>-0.87215432290029815</v>
      </c>
      <c r="K56" s="56" t="e">
        <f t="shared" si="9"/>
        <v>#REF!</v>
      </c>
      <c r="L56" s="57" t="e">
        <f t="shared" si="9"/>
        <v>#REF!</v>
      </c>
    </row>
    <row r="57" spans="3:15" ht="18" hidden="1" customHeight="1" x14ac:dyDescent="0.25">
      <c r="C57" s="59"/>
      <c r="D57" s="70">
        <v>42278</v>
      </c>
      <c r="E57" s="55">
        <v>24500</v>
      </c>
      <c r="F57" s="55">
        <v>21957.07454545455</v>
      </c>
      <c r="G57" s="58" t="e">
        <f>#REF!</f>
        <v>#REF!</v>
      </c>
      <c r="H57" s="58" t="e">
        <f>#REF!</f>
        <v>#REF!</v>
      </c>
      <c r="I57" s="56">
        <f t="shared" si="8"/>
        <v>0</v>
      </c>
      <c r="J57" s="56">
        <f t="shared" si="8"/>
        <v>-0.1753625242151502</v>
      </c>
      <c r="K57" s="56" t="e">
        <f t="shared" si="9"/>
        <v>#REF!</v>
      </c>
      <c r="L57" s="57" t="e">
        <f t="shared" si="9"/>
        <v>#REF!</v>
      </c>
    </row>
    <row r="58" spans="3:15" ht="18" hidden="1" customHeight="1" x14ac:dyDescent="0.25">
      <c r="C58" s="59"/>
      <c r="D58" s="70">
        <v>42309</v>
      </c>
      <c r="E58" s="55">
        <v>24500</v>
      </c>
      <c r="F58" s="55">
        <v>22950.647619047621</v>
      </c>
      <c r="G58" s="58" t="e">
        <f>#REF!</f>
        <v>#REF!</v>
      </c>
      <c r="H58" s="58" t="e">
        <f>#REF!</f>
        <v>#REF!</v>
      </c>
      <c r="I58" s="56">
        <f t="shared" si="8"/>
        <v>0</v>
      </c>
      <c r="J58" s="56">
        <f t="shared" si="8"/>
        <v>4.5250703664380332</v>
      </c>
      <c r="K58" s="56" t="e">
        <f t="shared" si="9"/>
        <v>#REF!</v>
      </c>
      <c r="L58" s="57" t="e">
        <f t="shared" si="9"/>
        <v>#REF!</v>
      </c>
    </row>
    <row r="59" spans="3:15" ht="21.75" hidden="1" customHeight="1" x14ac:dyDescent="0.25">
      <c r="C59" s="59"/>
      <c r="D59" s="70">
        <v>42339</v>
      </c>
      <c r="E59" s="55">
        <v>24500</v>
      </c>
      <c r="F59" s="55">
        <v>22722.941904761905</v>
      </c>
      <c r="G59" s="58" t="e">
        <f>#REF!</f>
        <v>#REF!</v>
      </c>
      <c r="H59" s="58" t="e">
        <f>#REF!</f>
        <v>#REF!</v>
      </c>
      <c r="I59" s="56">
        <f t="shared" si="8"/>
        <v>0</v>
      </c>
      <c r="J59" s="56">
        <f>(F59/F58-1)*100</f>
        <v>-0.99215376430917823</v>
      </c>
      <c r="K59" s="56" t="e">
        <f>(G59/G58-1)*100</f>
        <v>#REF!</v>
      </c>
      <c r="L59" s="57" t="e">
        <f>(H59/H58-1)*100</f>
        <v>#REF!</v>
      </c>
      <c r="M59" s="69"/>
      <c r="N59" s="68"/>
      <c r="O59" s="68"/>
    </row>
    <row r="60" spans="3:15" ht="24.75" customHeight="1" x14ac:dyDescent="0.25">
      <c r="C60" s="60">
        <v>2016</v>
      </c>
      <c r="D60" s="61"/>
      <c r="E60" s="55">
        <v>24500</v>
      </c>
      <c r="F60" s="55">
        <f>+[25]Taxa_Cambio_USD_Dobra!$Q$50</f>
        <v>22301.256775264083</v>
      </c>
      <c r="G60" s="58" t="e">
        <f>+#REF!</f>
        <v>#REF!</v>
      </c>
      <c r="H60" s="58" t="e">
        <f>+#REF!</f>
        <v>#REF!</v>
      </c>
      <c r="I60" s="56">
        <f>(E60/E47-1)*100</f>
        <v>0</v>
      </c>
      <c r="J60" s="56">
        <f>(F60/F47-1)*100</f>
        <v>0.25808204225357123</v>
      </c>
      <c r="K60" s="56" t="e">
        <f>(G60/G47-1)*100</f>
        <v>#REF!</v>
      </c>
      <c r="L60" s="179" t="e">
        <f>(H60/H47-1)*100</f>
        <v>#REF!</v>
      </c>
      <c r="M60" s="69"/>
    </row>
    <row r="61" spans="3:15" ht="22.5" customHeight="1" x14ac:dyDescent="0.25">
      <c r="C61" s="59"/>
      <c r="D61" s="70">
        <v>42370</v>
      </c>
      <c r="E61" s="55">
        <v>24500</v>
      </c>
      <c r="F61" s="55">
        <f>[26]Taxa_Cambio_USD_Dobra!$Q$10</f>
        <v>22368.236842105256</v>
      </c>
      <c r="G61" s="58" t="e">
        <f>#REF!</f>
        <v>#REF!</v>
      </c>
      <c r="H61" s="56" t="e">
        <f>+#REF!</f>
        <v>#REF!</v>
      </c>
      <c r="I61" s="56">
        <f>(E61/E59-1)*100</f>
        <v>0</v>
      </c>
      <c r="J61" s="56">
        <f>(F61/F59-1)*100</f>
        <v>-1.5609997338518755</v>
      </c>
      <c r="K61" s="56" t="e">
        <f>(G61/G59-1)*100</f>
        <v>#REF!</v>
      </c>
      <c r="L61" s="57" t="e">
        <f>(H61/H59-1)*100</f>
        <v>#REF!</v>
      </c>
      <c r="M61" s="69"/>
    </row>
    <row r="62" spans="3:15" ht="24.75" customHeight="1" x14ac:dyDescent="0.25">
      <c r="C62" s="59"/>
      <c r="D62" s="70">
        <v>42401</v>
      </c>
      <c r="E62" s="55">
        <v>24500</v>
      </c>
      <c r="F62" s="55">
        <f>+[27]Tx_Cambio_Mercado_USD_Dobra!$C$157</f>
        <v>22233.977999999996</v>
      </c>
      <c r="G62" s="58" t="e">
        <f>#REF!</f>
        <v>#REF!</v>
      </c>
      <c r="H62" s="72" t="e">
        <f>+#REF!</f>
        <v>#REF!</v>
      </c>
      <c r="I62" s="56">
        <f t="shared" ref="I62:L71" si="10">(E62/E61-1)*100</f>
        <v>0</v>
      </c>
      <c r="J62" s="56">
        <f t="shared" si="10"/>
        <v>-0.60022094299598816</v>
      </c>
      <c r="K62" s="56" t="e">
        <f t="shared" si="10"/>
        <v>#REF!</v>
      </c>
      <c r="L62" s="57" t="e">
        <f t="shared" si="10"/>
        <v>#REF!</v>
      </c>
      <c r="M62" s="69"/>
    </row>
    <row r="63" spans="3:15" ht="24.75" customHeight="1" x14ac:dyDescent="0.25">
      <c r="C63" s="59"/>
      <c r="D63" s="70">
        <v>42430</v>
      </c>
      <c r="E63" s="55">
        <v>24500</v>
      </c>
      <c r="F63" s="55">
        <f>+[27]Taxa_Cambio_USD_Dobra!$Q$16</f>
        <v>22274.663913043481</v>
      </c>
      <c r="G63" s="58" t="e">
        <f>#REF!</f>
        <v>#REF!</v>
      </c>
      <c r="H63" s="58" t="e">
        <f>+#REF!</f>
        <v>#REF!</v>
      </c>
      <c r="I63" s="56">
        <f t="shared" si="10"/>
        <v>0</v>
      </c>
      <c r="J63" s="56">
        <f t="shared" si="10"/>
        <v>0.18298980525881525</v>
      </c>
      <c r="K63" s="56" t="e">
        <f t="shared" ref="K63:L65" si="11">(G63/G62-1)*100</f>
        <v>#REF!</v>
      </c>
      <c r="L63" s="57" t="e">
        <f t="shared" si="11"/>
        <v>#REF!</v>
      </c>
      <c r="M63" s="69"/>
      <c r="N63" s="68"/>
      <c r="O63" s="68"/>
    </row>
    <row r="64" spans="3:15" ht="24.75" customHeight="1" x14ac:dyDescent="0.25">
      <c r="C64" s="59"/>
      <c r="D64" s="70">
        <v>42461</v>
      </c>
      <c r="E64" s="55">
        <v>24500</v>
      </c>
      <c r="F64" s="55">
        <f>[26]Taxa_Cambio_USD_Dobra!$Q$21</f>
        <v>21779.780952380952</v>
      </c>
      <c r="G64" s="58" t="e">
        <f>#REF!</f>
        <v>#REF!</v>
      </c>
      <c r="H64" s="58" t="e">
        <f>+#REF!</f>
        <v>#REF!</v>
      </c>
      <c r="I64" s="56">
        <f t="shared" si="10"/>
        <v>0</v>
      </c>
      <c r="J64" s="56">
        <f>(F64/F63-1)*100</f>
        <v>-2.2217303147399559</v>
      </c>
      <c r="K64" s="56" t="e">
        <f t="shared" si="11"/>
        <v>#REF!</v>
      </c>
      <c r="L64" s="57" t="e">
        <f t="shared" si="11"/>
        <v>#REF!</v>
      </c>
      <c r="M64" s="69"/>
      <c r="N64" s="68"/>
      <c r="O64" s="68"/>
    </row>
    <row r="65" spans="3:16" ht="24.75" customHeight="1" x14ac:dyDescent="0.25">
      <c r="C65" s="59"/>
      <c r="D65" s="70">
        <v>42491</v>
      </c>
      <c r="E65" s="55">
        <v>24500</v>
      </c>
      <c r="F65" s="55">
        <f>+[25]Taxa_Cambio_USD_Dobra!$Q$24</f>
        <v>21803.505000000008</v>
      </c>
      <c r="G65" s="58" t="e">
        <f>#REF!</f>
        <v>#REF!</v>
      </c>
      <c r="H65" s="58" t="e">
        <f>+#REF!</f>
        <v>#REF!</v>
      </c>
      <c r="I65" s="56">
        <f t="shared" si="10"/>
        <v>0</v>
      </c>
      <c r="J65" s="56">
        <f t="shared" ref="J65:J69" si="12">(F65/F64-1)*100</f>
        <v>0.10892693398030229</v>
      </c>
      <c r="K65" s="56" t="e">
        <f t="shared" si="11"/>
        <v>#REF!</v>
      </c>
      <c r="L65" s="57" t="e">
        <f t="shared" si="11"/>
        <v>#REF!</v>
      </c>
      <c r="M65" s="69"/>
      <c r="N65" s="68"/>
      <c r="O65" s="68"/>
    </row>
    <row r="66" spans="3:16" ht="24.75" customHeight="1" x14ac:dyDescent="0.25">
      <c r="C66" s="59"/>
      <c r="D66" s="70">
        <v>42522</v>
      </c>
      <c r="E66" s="55">
        <v>24500</v>
      </c>
      <c r="F66" s="55">
        <f>+[25]Taxa_Cambio_USD_Dobra!$Q$27</f>
        <v>21979.766818181819</v>
      </c>
      <c r="G66" s="58" t="e">
        <f>#REF!</f>
        <v>#REF!</v>
      </c>
      <c r="H66" s="58" t="e">
        <f>+#REF!</f>
        <v>#REF!</v>
      </c>
      <c r="I66" s="56">
        <f t="shared" si="10"/>
        <v>0</v>
      </c>
      <c r="J66" s="56">
        <f t="shared" si="12"/>
        <v>0.80841047428754642</v>
      </c>
      <c r="K66" s="56" t="e">
        <f t="shared" ref="K66:K70" si="13">(G66/G65-1)*100</f>
        <v>#REF!</v>
      </c>
      <c r="L66" s="57" t="e">
        <f t="shared" ref="L66:L70" si="14">(H66/H65-1)*100</f>
        <v>#REF!</v>
      </c>
      <c r="M66" s="69"/>
      <c r="N66" s="68"/>
      <c r="O66" s="68"/>
    </row>
    <row r="67" spans="3:16" ht="24.75" customHeight="1" x14ac:dyDescent="0.25">
      <c r="C67" s="59"/>
      <c r="D67" s="70">
        <v>42552</v>
      </c>
      <c r="E67" s="55">
        <v>24500</v>
      </c>
      <c r="F67" s="55">
        <f>+[25]Taxa_Cambio_USD_Dobra!$Q$32</f>
        <v>22300.517</v>
      </c>
      <c r="G67" s="58" t="e">
        <f>#REF!</f>
        <v>#REF!</v>
      </c>
      <c r="H67" s="58" t="e">
        <f>+#REF!</f>
        <v>#REF!</v>
      </c>
      <c r="I67" s="56">
        <f t="shared" si="10"/>
        <v>0</v>
      </c>
      <c r="J67" s="56">
        <f t="shared" si="12"/>
        <v>1.459297473314658</v>
      </c>
      <c r="K67" s="56" t="e">
        <f t="shared" si="13"/>
        <v>#REF!</v>
      </c>
      <c r="L67" s="57" t="e">
        <f t="shared" si="14"/>
        <v>#REF!</v>
      </c>
      <c r="M67" s="69"/>
      <c r="N67" s="68"/>
      <c r="O67" s="68"/>
    </row>
    <row r="68" spans="3:16" ht="18.75" customHeight="1" x14ac:dyDescent="0.25">
      <c r="C68" s="59"/>
      <c r="D68" s="70">
        <v>42583</v>
      </c>
      <c r="E68" s="55">
        <v>24500</v>
      </c>
      <c r="F68" s="55">
        <f>+[25]Taxa_Cambio_USD_Dobra!$Q$35</f>
        <v>22018.700434782611</v>
      </c>
      <c r="G68" s="58" t="e">
        <f>#REF!</f>
        <v>#REF!</v>
      </c>
      <c r="H68" s="58" t="e">
        <f>+#REF!</f>
        <v>#REF!</v>
      </c>
      <c r="I68" s="56">
        <f t="shared" si="10"/>
        <v>0</v>
      </c>
      <c r="J68" s="56">
        <f>(F68/F67-1)*100</f>
        <v>-1.2637221155787026</v>
      </c>
      <c r="K68" s="56" t="e">
        <f t="shared" si="13"/>
        <v>#REF!</v>
      </c>
      <c r="L68" s="57" t="e">
        <f>(H68/H67-1)*100</f>
        <v>#REF!</v>
      </c>
      <c r="M68" s="69"/>
      <c r="N68" s="68"/>
      <c r="O68" s="68"/>
    </row>
    <row r="69" spans="3:16" ht="24.75" customHeight="1" x14ac:dyDescent="0.25">
      <c r="C69" s="59"/>
      <c r="D69" s="70">
        <v>42614</v>
      </c>
      <c r="E69" s="55">
        <v>24500</v>
      </c>
      <c r="F69" s="55">
        <f>+[25]Taxa_Cambio_USD_Dobra!$Q$38</f>
        <v>22013.848999999998</v>
      </c>
      <c r="G69" s="58" t="e">
        <f>#REF!</f>
        <v>#REF!</v>
      </c>
      <c r="H69" s="58" t="e">
        <f>+#REF!</f>
        <v>#REF!</v>
      </c>
      <c r="I69" s="56">
        <f t="shared" si="10"/>
        <v>0</v>
      </c>
      <c r="J69" s="56">
        <f t="shared" si="12"/>
        <v>-2.2033247588715277E-2</v>
      </c>
      <c r="K69" s="56" t="e">
        <f t="shared" si="13"/>
        <v>#REF!</v>
      </c>
      <c r="L69" s="57" t="e">
        <f t="shared" si="14"/>
        <v>#REF!</v>
      </c>
      <c r="M69" s="69"/>
      <c r="N69" s="68"/>
      <c r="O69" s="68"/>
    </row>
    <row r="70" spans="3:16" ht="24.75" customHeight="1" x14ac:dyDescent="0.25">
      <c r="C70" s="59"/>
      <c r="D70" s="70">
        <v>42644</v>
      </c>
      <c r="E70" s="55">
        <v>24500</v>
      </c>
      <c r="F70" s="55">
        <f>+[25]Taxa_Cambio_USD_Dobra!$Q$43</f>
        <v>22368.362380952385</v>
      </c>
      <c r="G70" s="58" t="e">
        <f>#REF!</f>
        <v>#REF!</v>
      </c>
      <c r="H70" s="58" t="e">
        <f>+#REF!</f>
        <v>#REF!</v>
      </c>
      <c r="I70" s="56">
        <f t="shared" si="10"/>
        <v>0</v>
      </c>
      <c r="J70" s="56">
        <f>(F70/F69-1)*100</f>
        <v>1.6104107053354744</v>
      </c>
      <c r="K70" s="56" t="e">
        <f t="shared" si="13"/>
        <v>#REF!</v>
      </c>
      <c r="L70" s="57" t="e">
        <f t="shared" si="14"/>
        <v>#REF!</v>
      </c>
      <c r="M70" s="80"/>
      <c r="N70" s="68"/>
      <c r="O70" s="68"/>
      <c r="P70" s="178"/>
    </row>
    <row r="71" spans="3:16" ht="24.75" customHeight="1" x14ac:dyDescent="0.25">
      <c r="C71" s="59"/>
      <c r="D71" s="70">
        <v>42675</v>
      </c>
      <c r="E71" s="55">
        <v>24500</v>
      </c>
      <c r="F71" s="55">
        <f>+[25]Taxa_Cambio_USD_Dobra!$Q$46</f>
        <v>22838.13590909091</v>
      </c>
      <c r="G71" s="58" t="e">
        <f>+#REF!</f>
        <v>#REF!</v>
      </c>
      <c r="H71" s="58" t="e">
        <f>+#REF!</f>
        <v>#REF!</v>
      </c>
      <c r="I71" s="56">
        <f t="shared" si="10"/>
        <v>0</v>
      </c>
      <c r="J71" s="56">
        <f>(F71/F70-1)*100</f>
        <v>2.1001695168286316</v>
      </c>
      <c r="K71" s="56" t="e">
        <f t="shared" ref="K71" si="15">(G71/G70-1)*100</f>
        <v>#REF!</v>
      </c>
      <c r="L71" s="57" t="e">
        <f t="shared" ref="L71" si="16">(H71/H70-1)*100</f>
        <v>#REF!</v>
      </c>
      <c r="M71" s="69"/>
      <c r="N71" s="68"/>
      <c r="O71" s="68"/>
    </row>
    <row r="72" spans="3:16" ht="24.75" customHeight="1" thickBot="1" x14ac:dyDescent="0.3">
      <c r="C72" s="180"/>
      <c r="D72" s="70">
        <v>42705</v>
      </c>
      <c r="E72" s="55">
        <v>24500</v>
      </c>
      <c r="F72" s="55">
        <f>+[25]Taxa_Cambio_USD_Dobra!$Q$49</f>
        <v>23385.514000000003</v>
      </c>
      <c r="G72" s="58" t="e">
        <f>+#REF!</f>
        <v>#REF!</v>
      </c>
      <c r="H72" s="58" t="e">
        <f>+#REF!</f>
        <v>#REF!</v>
      </c>
      <c r="I72" s="56">
        <f>(E72/E71-1)*100</f>
        <v>0</v>
      </c>
      <c r="J72" s="56">
        <f>(F72/F71-1)*100</f>
        <v>2.3967721931771324</v>
      </c>
      <c r="K72" s="56" t="e">
        <f t="shared" ref="K72" si="17">(G72/G71-1)*100</f>
        <v>#REF!</v>
      </c>
      <c r="L72" s="179" t="e">
        <f t="shared" ref="L72" si="18">(H72/H71-1)*100</f>
        <v>#REF!</v>
      </c>
      <c r="M72" s="69"/>
      <c r="N72" s="68"/>
      <c r="O72" s="68"/>
    </row>
    <row r="73" spans="3:16" ht="24.75" customHeight="1" x14ac:dyDescent="0.2">
      <c r="C73" s="181">
        <v>2017</v>
      </c>
      <c r="D73" s="182"/>
      <c r="E73" s="172"/>
      <c r="F73" s="172"/>
      <c r="G73" s="183"/>
      <c r="H73" s="183"/>
      <c r="I73" s="173"/>
      <c r="J73" s="173"/>
      <c r="K73" s="173"/>
      <c r="L73" s="184"/>
      <c r="M73" s="69"/>
      <c r="N73" s="68"/>
      <c r="O73" s="68"/>
    </row>
    <row r="74" spans="3:16" ht="24.75" customHeight="1" thickBot="1" x14ac:dyDescent="0.3">
      <c r="C74" s="180"/>
      <c r="D74" s="70">
        <v>42736</v>
      </c>
      <c r="E74" s="55">
        <v>24500</v>
      </c>
      <c r="F74" s="55"/>
      <c r="G74" s="58" t="e">
        <f>+#REF!</f>
        <v>#REF!</v>
      </c>
      <c r="H74" s="58" t="e">
        <f>+#REF!</f>
        <v>#REF!</v>
      </c>
      <c r="I74" s="56">
        <f>(E74/E72-1)*100</f>
        <v>0</v>
      </c>
      <c r="J74" s="56">
        <f>(F74/F72-1)*100</f>
        <v>-100</v>
      </c>
      <c r="K74" s="56" t="e">
        <f>(G74/G72-1)*100</f>
        <v>#REF!</v>
      </c>
      <c r="L74" s="179" t="e">
        <f>(H74/H72-1)*100</f>
        <v>#REF!</v>
      </c>
      <c r="M74" s="69"/>
      <c r="N74" s="68"/>
      <c r="O74" s="68"/>
    </row>
    <row r="75" spans="3:16" ht="24.75" hidden="1" customHeight="1" x14ac:dyDescent="0.25">
      <c r="C75" s="180"/>
      <c r="D75" s="70">
        <v>42767</v>
      </c>
      <c r="E75" s="55"/>
      <c r="F75" s="55"/>
      <c r="G75" s="58"/>
      <c r="H75" s="58"/>
      <c r="I75" s="56"/>
      <c r="J75" s="56"/>
      <c r="K75" s="56"/>
      <c r="L75" s="179"/>
      <c r="M75" s="69"/>
      <c r="N75" s="68"/>
      <c r="O75" s="68"/>
    </row>
    <row r="76" spans="3:16" ht="24.75" hidden="1" customHeight="1" x14ac:dyDescent="0.25">
      <c r="C76" s="180"/>
      <c r="D76" s="70">
        <v>42795</v>
      </c>
      <c r="E76" s="55"/>
      <c r="F76" s="55"/>
      <c r="G76" s="58"/>
      <c r="H76" s="58"/>
      <c r="I76" s="56"/>
      <c r="J76" s="56"/>
      <c r="K76" s="56"/>
      <c r="L76" s="179"/>
      <c r="M76" s="69"/>
      <c r="N76" s="68"/>
      <c r="O76" s="68"/>
    </row>
    <row r="77" spans="3:16" ht="24.75" hidden="1" customHeight="1" x14ac:dyDescent="0.25">
      <c r="C77" s="180"/>
      <c r="D77" s="70">
        <v>42826</v>
      </c>
      <c r="E77" s="55"/>
      <c r="F77" s="55"/>
      <c r="G77" s="58"/>
      <c r="H77" s="58"/>
      <c r="I77" s="56"/>
      <c r="J77" s="56"/>
      <c r="K77" s="56"/>
      <c r="L77" s="179"/>
      <c r="M77" s="69"/>
      <c r="N77" s="68"/>
      <c r="O77" s="68"/>
    </row>
    <row r="78" spans="3:16" ht="24.75" hidden="1" customHeight="1" x14ac:dyDescent="0.25">
      <c r="C78" s="180"/>
      <c r="D78" s="70">
        <v>42856</v>
      </c>
      <c r="E78" s="55"/>
      <c r="F78" s="55"/>
      <c r="G78" s="58"/>
      <c r="H78" s="58"/>
      <c r="I78" s="56"/>
      <c r="J78" s="56"/>
      <c r="K78" s="56"/>
      <c r="L78" s="179"/>
      <c r="M78" s="69"/>
      <c r="N78" s="68"/>
      <c r="O78" s="68"/>
    </row>
    <row r="79" spans="3:16" ht="24.75" hidden="1" customHeight="1" x14ac:dyDescent="0.25">
      <c r="C79" s="180"/>
      <c r="D79" s="70">
        <v>42887</v>
      </c>
      <c r="E79" s="55"/>
      <c r="F79" s="55"/>
      <c r="G79" s="58"/>
      <c r="H79" s="58"/>
      <c r="I79" s="56"/>
      <c r="J79" s="56"/>
      <c r="K79" s="56"/>
      <c r="L79" s="179"/>
      <c r="M79" s="69"/>
      <c r="N79" s="68"/>
      <c r="O79" s="68"/>
    </row>
    <row r="80" spans="3:16" ht="24.75" hidden="1" customHeight="1" x14ac:dyDescent="0.25">
      <c r="C80" s="180"/>
      <c r="D80" s="70">
        <v>42917</v>
      </c>
      <c r="E80" s="55"/>
      <c r="F80" s="55"/>
      <c r="G80" s="58"/>
      <c r="H80" s="58"/>
      <c r="I80" s="56"/>
      <c r="J80" s="56"/>
      <c r="K80" s="56"/>
      <c r="L80" s="179"/>
      <c r="M80" s="69"/>
      <c r="N80" s="68"/>
      <c r="O80" s="68"/>
    </row>
    <row r="81" spans="2:15" ht="24.75" hidden="1" customHeight="1" x14ac:dyDescent="0.25">
      <c r="C81" s="180"/>
      <c r="D81" s="70">
        <v>42948</v>
      </c>
      <c r="E81" s="55"/>
      <c r="F81" s="55"/>
      <c r="G81" s="58"/>
      <c r="H81" s="58"/>
      <c r="I81" s="56"/>
      <c r="J81" s="56"/>
      <c r="K81" s="56"/>
      <c r="L81" s="179"/>
      <c r="M81" s="69"/>
      <c r="N81" s="68"/>
      <c r="O81" s="68"/>
    </row>
    <row r="82" spans="2:15" ht="24.75" hidden="1" customHeight="1" x14ac:dyDescent="0.25">
      <c r="C82" s="180"/>
      <c r="D82" s="70">
        <v>42979</v>
      </c>
      <c r="E82" s="55"/>
      <c r="F82" s="55"/>
      <c r="G82" s="58"/>
      <c r="H82" s="58"/>
      <c r="I82" s="56"/>
      <c r="J82" s="56"/>
      <c r="K82" s="56"/>
      <c r="L82" s="179"/>
      <c r="M82" s="69"/>
      <c r="N82" s="68"/>
      <c r="O82" s="68"/>
    </row>
    <row r="83" spans="2:15" ht="24.75" hidden="1" customHeight="1" x14ac:dyDescent="0.25">
      <c r="C83" s="180"/>
      <c r="D83" s="70">
        <v>43009</v>
      </c>
      <c r="E83" s="55"/>
      <c r="F83" s="55"/>
      <c r="G83" s="58"/>
      <c r="H83" s="58"/>
      <c r="I83" s="56"/>
      <c r="J83" s="56"/>
      <c r="K83" s="56"/>
      <c r="L83" s="179"/>
      <c r="M83" s="69"/>
      <c r="N83" s="68"/>
      <c r="O83" s="68"/>
    </row>
    <row r="84" spans="2:15" ht="24.75" hidden="1" customHeight="1" x14ac:dyDescent="0.25">
      <c r="C84" s="180"/>
      <c r="D84" s="70">
        <v>43040</v>
      </c>
      <c r="E84" s="55"/>
      <c r="F84" s="55"/>
      <c r="G84" s="58"/>
      <c r="H84" s="58"/>
      <c r="I84" s="56"/>
      <c r="J84" s="56"/>
      <c r="K84" s="56"/>
      <c r="L84" s="179"/>
      <c r="M84" s="69"/>
      <c r="N84" s="68"/>
      <c r="O84" s="68"/>
    </row>
    <row r="85" spans="2:15" ht="24.75" hidden="1" customHeight="1" thickBot="1" x14ac:dyDescent="0.3">
      <c r="C85" s="83"/>
      <c r="D85" s="84">
        <v>43070</v>
      </c>
      <c r="E85" s="65"/>
      <c r="F85" s="65"/>
      <c r="G85" s="85"/>
      <c r="H85" s="85"/>
      <c r="I85" s="66"/>
      <c r="J85" s="66"/>
      <c r="K85" s="66"/>
      <c r="L85" s="67"/>
      <c r="M85" s="69"/>
      <c r="N85" s="68"/>
      <c r="O85" s="68"/>
    </row>
    <row r="86" spans="2:15" ht="14.25" x14ac:dyDescent="0.2">
      <c r="B86" s="79"/>
      <c r="C86" s="73" t="s">
        <v>32</v>
      </c>
      <c r="D86" s="74"/>
      <c r="E86" s="75"/>
      <c r="F86" s="76"/>
      <c r="G86" s="77"/>
      <c r="H86" s="77"/>
      <c r="I86" s="78"/>
      <c r="J86" s="78"/>
      <c r="K86" s="78"/>
      <c r="L86" s="78"/>
      <c r="M86" s="69"/>
      <c r="N86" s="68"/>
      <c r="O86" s="68"/>
    </row>
    <row r="87" spans="2:15" ht="25.5" customHeight="1" x14ac:dyDescent="0.2">
      <c r="B87" s="79"/>
      <c r="C87" s="250" t="s">
        <v>97</v>
      </c>
      <c r="D87" s="250"/>
      <c r="E87" s="250"/>
      <c r="F87" s="250"/>
      <c r="G87" s="250"/>
      <c r="H87" s="250"/>
      <c r="I87" s="250"/>
      <c r="J87" s="250"/>
      <c r="K87" s="250"/>
      <c r="L87" s="250"/>
      <c r="M87" s="69"/>
      <c r="N87" s="68"/>
      <c r="O87" s="68"/>
    </row>
    <row r="88" spans="2:15" x14ac:dyDescent="0.2">
      <c r="B88" s="79"/>
      <c r="C88" s="81" t="s">
        <v>36</v>
      </c>
      <c r="D88" s="82"/>
      <c r="E88" s="82"/>
      <c r="F88" s="82"/>
      <c r="G88" s="82"/>
      <c r="H88" s="82"/>
      <c r="I88" s="82"/>
      <c r="J88" s="82"/>
      <c r="K88" s="82"/>
      <c r="L88" s="82"/>
    </row>
    <row r="89" spans="2:15" ht="6.75" customHeight="1" x14ac:dyDescent="0.2"/>
    <row r="90" spans="2:15" ht="8.25" customHeight="1" x14ac:dyDescent="0.2"/>
    <row r="101" spans="6:6" x14ac:dyDescent="0.2">
      <c r="F101" s="79"/>
    </row>
  </sheetData>
  <mergeCells count="2">
    <mergeCell ref="I8:L8"/>
    <mergeCell ref="C87:L87"/>
  </mergeCells>
  <printOptions horizontalCentered="1" verticalCentered="1"/>
  <pageMargins left="0" right="0" top="0" bottom="0" header="0" footer="0"/>
  <pageSetup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O88"/>
  <sheetViews>
    <sheetView showGridLines="0" view="pageBreakPreview" topLeftCell="A58" zoomScale="118" zoomScaleNormal="100" zoomScaleSheetLayoutView="118" workbookViewId="0">
      <selection activeCell="M77" sqref="B1:M77"/>
    </sheetView>
  </sheetViews>
  <sheetFormatPr defaultColWidth="9.140625" defaultRowHeight="12.75" x14ac:dyDescent="0.2"/>
  <cols>
    <col min="1" max="1" width="16.7109375" style="145" customWidth="1"/>
    <col min="2" max="2" width="2.7109375" style="145" customWidth="1"/>
    <col min="3" max="3" width="8" style="145" customWidth="1"/>
    <col min="4" max="4" width="7.28515625" style="145" customWidth="1"/>
    <col min="5" max="12" width="14" style="145" customWidth="1"/>
    <col min="13" max="13" width="1.85546875" style="145" customWidth="1"/>
    <col min="14" max="14" width="9.28515625" style="145" bestFit="1" customWidth="1"/>
    <col min="15" max="16384" width="9.140625" style="145"/>
  </cols>
  <sheetData>
    <row r="2" spans="3:13" ht="13.5" thickBot="1" x14ac:dyDescent="0.25"/>
    <row r="3" spans="3:13" ht="15" customHeight="1" x14ac:dyDescent="0.25">
      <c r="C3" s="146"/>
      <c r="D3" s="34"/>
      <c r="E3" s="35"/>
      <c r="F3" s="35"/>
      <c r="G3" s="35"/>
      <c r="H3" s="35"/>
      <c r="I3" s="35"/>
      <c r="J3" s="36"/>
      <c r="K3" s="35"/>
      <c r="L3" s="37"/>
    </row>
    <row r="4" spans="3:13" ht="15" customHeight="1" x14ac:dyDescent="0.25">
      <c r="C4" s="38"/>
      <c r="D4" s="22"/>
      <c r="E4" s="39" t="s">
        <v>37</v>
      </c>
      <c r="F4" s="40"/>
      <c r="G4" s="40"/>
      <c r="H4" s="40"/>
      <c r="I4" s="40"/>
      <c r="J4" s="41"/>
      <c r="K4" s="40"/>
      <c r="L4" s="42"/>
    </row>
    <row r="5" spans="3:13" ht="15" customHeight="1" thickBot="1" x14ac:dyDescent="0.3">
      <c r="C5" s="43"/>
      <c r="D5" s="44"/>
      <c r="E5" s="45"/>
      <c r="F5" s="45"/>
      <c r="G5" s="45"/>
      <c r="H5" s="45"/>
      <c r="I5" s="147"/>
      <c r="J5" s="147"/>
      <c r="K5" s="147"/>
      <c r="L5" s="148"/>
    </row>
    <row r="6" spans="3:13" ht="4.5" customHeight="1" x14ac:dyDescent="0.25">
      <c r="C6" s="48"/>
      <c r="D6" s="49"/>
      <c r="E6" s="23"/>
      <c r="F6" s="23"/>
      <c r="G6" s="23"/>
      <c r="H6" s="23"/>
      <c r="I6" s="23"/>
      <c r="J6" s="23"/>
      <c r="K6" s="23"/>
      <c r="L6" s="30"/>
    </row>
    <row r="7" spans="3:13" ht="4.5" customHeight="1" x14ac:dyDescent="0.25">
      <c r="C7" s="48"/>
      <c r="D7" s="49"/>
      <c r="E7" s="23"/>
      <c r="F7" s="23"/>
      <c r="G7" s="23"/>
      <c r="H7" s="23"/>
      <c r="I7" s="149"/>
      <c r="J7" s="149"/>
      <c r="K7" s="149"/>
      <c r="L7" s="150"/>
      <c r="M7" s="151"/>
    </row>
    <row r="8" spans="3:13" ht="18" customHeight="1" x14ac:dyDescent="0.25">
      <c r="C8" s="48"/>
      <c r="D8" s="49"/>
      <c r="E8" s="52" t="s">
        <v>25</v>
      </c>
      <c r="F8" s="52" t="s">
        <v>26</v>
      </c>
      <c r="G8" s="52" t="s">
        <v>33</v>
      </c>
      <c r="H8" s="52" t="s">
        <v>34</v>
      </c>
      <c r="I8" s="248" t="s">
        <v>27</v>
      </c>
      <c r="J8" s="248"/>
      <c r="K8" s="248"/>
      <c r="L8" s="249"/>
    </row>
    <row r="9" spans="3:13" ht="18" customHeight="1" x14ac:dyDescent="0.25">
      <c r="C9" s="152">
        <v>2001</v>
      </c>
      <c r="D9" s="153"/>
      <c r="E9" s="55">
        <v>7917.65</v>
      </c>
      <c r="F9" s="142">
        <v>8842.11</v>
      </c>
      <c r="G9" s="58" t="e">
        <f>+'Tx de Cambio exc. ESP e China'!C30</f>
        <v>#REF!</v>
      </c>
      <c r="H9" s="58" t="e">
        <f>+'Tx de Cambio exc. ESP e China'!C47</f>
        <v>#REF!</v>
      </c>
      <c r="I9" s="53" t="s">
        <v>25</v>
      </c>
      <c r="J9" s="53" t="s">
        <v>26</v>
      </c>
      <c r="K9" s="53" t="s">
        <v>33</v>
      </c>
      <c r="L9" s="54" t="s">
        <v>35</v>
      </c>
    </row>
    <row r="10" spans="3:13" ht="18" customHeight="1" x14ac:dyDescent="0.25">
      <c r="C10" s="152">
        <v>2002</v>
      </c>
      <c r="D10" s="153"/>
      <c r="E10" s="55">
        <v>8585.73</v>
      </c>
      <c r="F10" s="142">
        <v>9089.217499999997</v>
      </c>
      <c r="G10" s="58" t="e">
        <f>+'Tx de Cambio exc. ESP e China'!D30</f>
        <v>#REF!</v>
      </c>
      <c r="H10" s="58" t="e">
        <f>+'Tx de Cambio exc. ESP e China'!D47</f>
        <v>#REF!</v>
      </c>
      <c r="I10" s="56">
        <f>(E10/E9-1)*100</f>
        <v>8.437857192475029</v>
      </c>
      <c r="J10" s="56">
        <f>(F10/F9-1)*100</f>
        <v>2.7946666576190049</v>
      </c>
      <c r="K10" s="56" t="e">
        <f>(G10/G9-1)*100</f>
        <v>#REF!</v>
      </c>
      <c r="L10" s="57" t="e">
        <f>(H10/H9-1)*100</f>
        <v>#REF!</v>
      </c>
    </row>
    <row r="11" spans="3:13" ht="18" customHeight="1" x14ac:dyDescent="0.25">
      <c r="C11" s="152">
        <v>2003</v>
      </c>
      <c r="D11" s="153"/>
      <c r="E11" s="55">
        <v>10567.56</v>
      </c>
      <c r="F11" s="55">
        <v>9347.5833333333321</v>
      </c>
      <c r="G11" s="58" t="e">
        <f>+'Tx de Cambio exc. ESP e China'!E30</f>
        <v>#REF!</v>
      </c>
      <c r="H11" s="58" t="e">
        <f>+'Tx de Cambio exc. ESP e China'!E47</f>
        <v>#REF!</v>
      </c>
      <c r="I11" s="56">
        <f t="shared" ref="I11:L20" si="0">(E11/E10-1)*100</f>
        <v>23.08283628765404</v>
      </c>
      <c r="J11" s="56">
        <f t="shared" si="0"/>
        <v>2.8425530947337796</v>
      </c>
      <c r="K11" s="56" t="e">
        <f t="shared" si="0"/>
        <v>#REF!</v>
      </c>
      <c r="L11" s="57" t="e">
        <f>(H11/H10-1)*100</f>
        <v>#REF!</v>
      </c>
    </row>
    <row r="12" spans="3:13" ht="18" customHeight="1" x14ac:dyDescent="0.25">
      <c r="C12" s="152">
        <v>2004</v>
      </c>
      <c r="D12" s="153"/>
      <c r="E12" s="55">
        <v>12305.87</v>
      </c>
      <c r="F12" s="55">
        <v>9902.3241666666672</v>
      </c>
      <c r="G12" s="58" t="e">
        <f>+'Tx de Cambio exc. ESP e China'!F30</f>
        <v>#REF!</v>
      </c>
      <c r="H12" s="58" t="e">
        <f>+'Tx de Cambio exc. ESP e China'!F47</f>
        <v>#REF!</v>
      </c>
      <c r="I12" s="56">
        <f t="shared" si="0"/>
        <v>16.449492598102132</v>
      </c>
      <c r="J12" s="56">
        <f t="shared" si="0"/>
        <v>5.9345909370514871</v>
      </c>
      <c r="K12" s="56" t="e">
        <f t="shared" si="0"/>
        <v>#REF!</v>
      </c>
      <c r="L12" s="57" t="e">
        <f t="shared" si="0"/>
        <v>#REF!</v>
      </c>
    </row>
    <row r="13" spans="3:13" ht="18" customHeight="1" x14ac:dyDescent="0.25">
      <c r="C13" s="152">
        <v>2005</v>
      </c>
      <c r="D13" s="153"/>
      <c r="E13" s="55">
        <v>13123.41</v>
      </c>
      <c r="F13" s="55">
        <v>10557.966881659209</v>
      </c>
      <c r="G13" s="58" t="e">
        <f>+'Tx de Cambio exc. ESP e China'!G30</f>
        <v>#REF!</v>
      </c>
      <c r="H13" s="58" t="e">
        <f>+'Tx de Cambio exc. ESP e China'!G47</f>
        <v>#REF!</v>
      </c>
      <c r="I13" s="56">
        <f t="shared" si="0"/>
        <v>6.6434961526490977</v>
      </c>
      <c r="J13" s="56">
        <f t="shared" si="0"/>
        <v>6.6210992889888853</v>
      </c>
      <c r="K13" s="56" t="e">
        <f t="shared" si="0"/>
        <v>#REF!</v>
      </c>
      <c r="L13" s="57" t="e">
        <f t="shared" si="0"/>
        <v>#REF!</v>
      </c>
    </row>
    <row r="14" spans="3:13" ht="18" customHeight="1" x14ac:dyDescent="0.25">
      <c r="C14" s="152">
        <v>2006</v>
      </c>
      <c r="D14" s="153"/>
      <c r="E14" s="55">
        <v>15629.73</v>
      </c>
      <c r="F14" s="55">
        <v>12448.478333333333</v>
      </c>
      <c r="G14" s="58" t="e">
        <f>+'Tx de Cambio exc. ESP e China'!H30</f>
        <v>#REF!</v>
      </c>
      <c r="H14" s="58" t="e">
        <f>+'Tx de Cambio exc. ESP e China'!H47</f>
        <v>#REF!</v>
      </c>
      <c r="I14" s="56">
        <f t="shared" si="0"/>
        <v>19.098085025157332</v>
      </c>
      <c r="J14" s="56">
        <f t="shared" si="0"/>
        <v>17.906018013356608</v>
      </c>
      <c r="K14" s="56" t="e">
        <f t="shared" si="0"/>
        <v>#REF!</v>
      </c>
      <c r="L14" s="57" t="e">
        <f t="shared" si="0"/>
        <v>#REF!</v>
      </c>
    </row>
    <row r="15" spans="3:13" ht="18" customHeight="1" x14ac:dyDescent="0.25">
      <c r="C15" s="152">
        <v>2007</v>
      </c>
      <c r="D15" s="153"/>
      <c r="E15" s="55">
        <v>18558.11</v>
      </c>
      <c r="F15" s="55">
        <v>13536.757500000002</v>
      </c>
      <c r="G15" s="58" t="e">
        <f>+'Tx de Cambio exc. ESP e China'!I30</f>
        <v>#REF!</v>
      </c>
      <c r="H15" s="58" t="e">
        <f>+'Tx de Cambio exc. ESP e China'!I47</f>
        <v>#REF!</v>
      </c>
      <c r="I15" s="56">
        <f t="shared" si="0"/>
        <v>18.735960250113081</v>
      </c>
      <c r="J15" s="56">
        <f t="shared" si="0"/>
        <v>8.7422666250908776</v>
      </c>
      <c r="K15" s="56" t="e">
        <f t="shared" si="0"/>
        <v>#REF!</v>
      </c>
      <c r="L15" s="57" t="e">
        <f t="shared" si="0"/>
        <v>#REF!</v>
      </c>
    </row>
    <row r="16" spans="3:13" ht="18" customHeight="1" x14ac:dyDescent="0.25">
      <c r="C16" s="152">
        <v>2008</v>
      </c>
      <c r="D16" s="153"/>
      <c r="E16" s="55">
        <v>21616.42</v>
      </c>
      <c r="F16" s="55">
        <v>14695.204166666668</v>
      </c>
      <c r="G16" s="58" t="e">
        <f>+'Tx de Cambio exc. ESP e China'!J30</f>
        <v>#REF!</v>
      </c>
      <c r="H16" s="58" t="e">
        <f>+'Tx de Cambio exc. ESP e China'!J47</f>
        <v>#REF!</v>
      </c>
      <c r="I16" s="56">
        <f t="shared" si="0"/>
        <v>16.479641515218944</v>
      </c>
      <c r="J16" s="56">
        <f t="shared" si="0"/>
        <v>8.5577854716438964</v>
      </c>
      <c r="K16" s="56" t="e">
        <f t="shared" si="0"/>
        <v>#REF!</v>
      </c>
      <c r="L16" s="57" t="e">
        <f t="shared" si="0"/>
        <v>#REF!</v>
      </c>
    </row>
    <row r="17" spans="3:12" ht="18" customHeight="1" x14ac:dyDescent="0.25">
      <c r="C17" s="152">
        <v>2009</v>
      </c>
      <c r="D17" s="153"/>
      <c r="E17" s="55">
        <v>22549.1</v>
      </c>
      <c r="F17" s="55">
        <v>16208.451254005831</v>
      </c>
      <c r="G17" s="58" t="e">
        <f>+'Tx de Cambio exc. ESP e China'!K30</f>
        <v>#REF!</v>
      </c>
      <c r="H17" s="58" t="e">
        <f>+'Tx de Cambio exc. ESP e China'!K47</f>
        <v>#REF!</v>
      </c>
      <c r="I17" s="56">
        <f t="shared" si="0"/>
        <v>4.3146830048639062</v>
      </c>
      <c r="J17" s="56">
        <f t="shared" si="0"/>
        <v>10.297557421976355</v>
      </c>
      <c r="K17" s="56" t="e">
        <f t="shared" si="0"/>
        <v>#REF!</v>
      </c>
      <c r="L17" s="57" t="e">
        <f t="shared" si="0"/>
        <v>#REF!</v>
      </c>
    </row>
    <row r="18" spans="3:12" ht="18" customHeight="1" x14ac:dyDescent="0.25">
      <c r="C18" s="152">
        <v>2010</v>
      </c>
      <c r="D18" s="153"/>
      <c r="E18" s="55">
        <v>24500</v>
      </c>
      <c r="F18" s="55">
        <v>18574.033779346046</v>
      </c>
      <c r="G18" s="58" t="e">
        <f>+'Tx de Cambio exc. ESP e China'!L30</f>
        <v>#REF!</v>
      </c>
      <c r="H18" s="58" t="e">
        <f>+'Tx de Cambio exc. ESP e China'!L47</f>
        <v>#REF!</v>
      </c>
      <c r="I18" s="56">
        <f t="shared" si="0"/>
        <v>8.6517865458044962</v>
      </c>
      <c r="J18" s="56">
        <f t="shared" si="0"/>
        <v>14.594747445445</v>
      </c>
      <c r="K18" s="56" t="e">
        <f t="shared" si="0"/>
        <v>#REF!</v>
      </c>
      <c r="L18" s="57" t="e">
        <f t="shared" si="0"/>
        <v>#REF!</v>
      </c>
    </row>
    <row r="19" spans="3:12" ht="18" customHeight="1" x14ac:dyDescent="0.25">
      <c r="C19" s="152">
        <v>2011</v>
      </c>
      <c r="D19" s="153"/>
      <c r="E19" s="55">
        <v>24500</v>
      </c>
      <c r="F19" s="55">
        <v>17754.246182424256</v>
      </c>
      <c r="G19" s="58" t="e">
        <f>+'Tx de Cambio exc. ESP e China'!M30</f>
        <v>#REF!</v>
      </c>
      <c r="H19" s="58" t="e">
        <f>+'Tx de Cambio exc. ESP e China'!M47</f>
        <v>#REF!</v>
      </c>
      <c r="I19" s="56">
        <f t="shared" si="0"/>
        <v>0</v>
      </c>
      <c r="J19" s="56">
        <f t="shared" si="0"/>
        <v>-4.4136217617595674</v>
      </c>
      <c r="K19" s="56" t="e">
        <f t="shared" si="0"/>
        <v>#REF!</v>
      </c>
      <c r="L19" s="57" t="e">
        <f t="shared" si="0"/>
        <v>#REF!</v>
      </c>
    </row>
    <row r="20" spans="3:12" ht="18" customHeight="1" thickBot="1" x14ac:dyDescent="0.3">
      <c r="C20" s="154">
        <v>2012</v>
      </c>
      <c r="D20" s="155"/>
      <c r="E20" s="65">
        <v>24500</v>
      </c>
      <c r="F20" s="65">
        <v>19211.429966850592</v>
      </c>
      <c r="G20" s="85" t="e">
        <f>+'Tx de Cambio exc. ESP e China'!N30</f>
        <v>#REF!</v>
      </c>
      <c r="H20" s="66" t="e">
        <f>+'Tx de Cambio exc. ESP e China'!N47</f>
        <v>#REF!</v>
      </c>
      <c r="I20" s="66">
        <f t="shared" si="0"/>
        <v>0</v>
      </c>
      <c r="J20" s="66">
        <f t="shared" si="0"/>
        <v>8.2075226931846323</v>
      </c>
      <c r="K20" s="66" t="e">
        <f t="shared" si="0"/>
        <v>#REF!</v>
      </c>
      <c r="L20" s="67" t="e">
        <f t="shared" si="0"/>
        <v>#REF!</v>
      </c>
    </row>
    <row r="21" spans="3:12" ht="18" customHeight="1" x14ac:dyDescent="0.25">
      <c r="C21" s="152">
        <v>2013</v>
      </c>
      <c r="D21" s="153"/>
      <c r="E21" s="52"/>
      <c r="F21" s="52"/>
      <c r="G21" s="58"/>
      <c r="H21" s="52"/>
      <c r="I21" s="53"/>
      <c r="J21" s="53"/>
      <c r="K21" s="53"/>
      <c r="L21" s="54"/>
    </row>
    <row r="22" spans="3:12" ht="18" customHeight="1" x14ac:dyDescent="0.25">
      <c r="C22" s="156"/>
      <c r="D22" s="157">
        <v>41275</v>
      </c>
      <c r="E22" s="55">
        <v>24500</v>
      </c>
      <c r="F22" s="55">
        <v>18583.208095238097</v>
      </c>
      <c r="G22" s="58" t="e">
        <f>+'Tx de Cambio exc. ESP e China'!O30</f>
        <v>#REF!</v>
      </c>
      <c r="H22" s="58" t="e">
        <f>+'Tx de Cambio exc. ESP e China'!O47</f>
        <v>#REF!</v>
      </c>
      <c r="I22" s="53"/>
      <c r="J22" s="53"/>
      <c r="K22" s="56"/>
      <c r="L22" s="54"/>
    </row>
    <row r="23" spans="3:12" ht="18" customHeight="1" x14ac:dyDescent="0.25">
      <c r="C23" s="156"/>
      <c r="D23" s="157">
        <v>41306</v>
      </c>
      <c r="E23" s="55">
        <v>24500</v>
      </c>
      <c r="F23" s="55">
        <v>18450.554499999998</v>
      </c>
      <c r="G23" s="58" t="e">
        <f>+'Tx de Cambio exc. ESP e China'!P30</f>
        <v>#REF!</v>
      </c>
      <c r="H23" s="58" t="e">
        <f>+'Tx de Cambio exc. ESP e China'!P47</f>
        <v>#REF!</v>
      </c>
      <c r="I23" s="56">
        <f>(E23/E22-1)*100</f>
        <v>0</v>
      </c>
      <c r="J23" s="56">
        <f>(F23/F22-1)*100</f>
        <v>-0.71383581649764327</v>
      </c>
      <c r="K23" s="56" t="e">
        <f>(G23/G22-1)*100</f>
        <v>#REF!</v>
      </c>
      <c r="L23" s="57" t="e">
        <f>(H23/H22-1)*100</f>
        <v>#REF!</v>
      </c>
    </row>
    <row r="24" spans="3:12" ht="18" customHeight="1" x14ac:dyDescent="0.25">
      <c r="C24" s="156"/>
      <c r="D24" s="157">
        <v>41334</v>
      </c>
      <c r="E24" s="55">
        <v>24500</v>
      </c>
      <c r="F24" s="55">
        <v>19030.129047619048</v>
      </c>
      <c r="G24" s="58" t="e">
        <f>+'Tx de Cambio exc. ESP e China'!Q30</f>
        <v>#REF!</v>
      </c>
      <c r="H24" s="58" t="e">
        <f>+'Tx de Cambio exc. ESP e China'!Q47</f>
        <v>#REF!</v>
      </c>
      <c r="I24" s="56">
        <f t="shared" ref="I24:L39" si="1">(E24/E23-1)*100</f>
        <v>0</v>
      </c>
      <c r="J24" s="56">
        <f t="shared" si="1"/>
        <v>3.1412310541618194</v>
      </c>
      <c r="K24" s="56" t="e">
        <f t="shared" si="1"/>
        <v>#REF!</v>
      </c>
      <c r="L24" s="57" t="e">
        <f t="shared" si="1"/>
        <v>#REF!</v>
      </c>
    </row>
    <row r="25" spans="3:12" ht="18" customHeight="1" x14ac:dyDescent="0.25">
      <c r="C25" s="156"/>
      <c r="D25" s="157">
        <v>41365</v>
      </c>
      <c r="E25" s="55">
        <v>24500</v>
      </c>
      <c r="F25" s="55">
        <v>18983.309545454544</v>
      </c>
      <c r="G25" s="58" t="e">
        <f>+'Tx de Cambio exc. ESP e China'!R30</f>
        <v>#REF!</v>
      </c>
      <c r="H25" s="58" t="e">
        <f>+'Tx de Cambio exc. ESP e China'!R47</f>
        <v>#REF!</v>
      </c>
      <c r="I25" s="56">
        <f t="shared" si="1"/>
        <v>0</v>
      </c>
      <c r="J25" s="56">
        <f t="shared" si="1"/>
        <v>-0.24602829569546625</v>
      </c>
      <c r="K25" s="56" t="e">
        <f t="shared" si="1"/>
        <v>#REF!</v>
      </c>
      <c r="L25" s="57" t="e">
        <f t="shared" si="1"/>
        <v>#REF!</v>
      </c>
    </row>
    <row r="26" spans="3:12" ht="18" customHeight="1" x14ac:dyDescent="0.25">
      <c r="C26" s="156"/>
      <c r="D26" s="157">
        <v>41395</v>
      </c>
      <c r="E26" s="55">
        <v>24500</v>
      </c>
      <c r="F26" s="55">
        <v>19010.566818181818</v>
      </c>
      <c r="G26" s="58" t="e">
        <f>+'Tx de Cambio exc. ESP e China'!S30</f>
        <v>#REF!</v>
      </c>
      <c r="H26" s="58" t="e">
        <f>+'Tx de Cambio exc. ESP e China'!S47</f>
        <v>#REF!</v>
      </c>
      <c r="I26" s="56">
        <f t="shared" si="1"/>
        <v>0</v>
      </c>
      <c r="J26" s="56">
        <f t="shared" si="1"/>
        <v>0.14358546207133838</v>
      </c>
      <c r="K26" s="56" t="e">
        <f t="shared" si="1"/>
        <v>#REF!</v>
      </c>
      <c r="L26" s="57" t="e">
        <f t="shared" si="1"/>
        <v>#REF!</v>
      </c>
    </row>
    <row r="27" spans="3:12" ht="18" customHeight="1" x14ac:dyDescent="0.25">
      <c r="C27" s="156"/>
      <c r="D27" s="157">
        <v>41426</v>
      </c>
      <c r="E27" s="55">
        <v>24500</v>
      </c>
      <c r="F27" s="55">
        <v>18722.699000000001</v>
      </c>
      <c r="G27" s="58" t="e">
        <f>+'Tx de Cambio exc. ESP e China'!T30</f>
        <v>#REF!</v>
      </c>
      <c r="H27" s="58" t="e">
        <f>+'Tx de Cambio exc. ESP e China'!T47</f>
        <v>#REF!</v>
      </c>
      <c r="I27" s="56">
        <f t="shared" si="1"/>
        <v>0</v>
      </c>
      <c r="J27" s="56">
        <f t="shared" si="1"/>
        <v>-1.5142516313953358</v>
      </c>
      <c r="K27" s="56" t="e">
        <f t="shared" si="1"/>
        <v>#REF!</v>
      </c>
      <c r="L27" s="57" t="e">
        <f t="shared" si="1"/>
        <v>#REF!</v>
      </c>
    </row>
    <row r="28" spans="3:12" ht="18" customHeight="1" x14ac:dyDescent="0.25">
      <c r="C28" s="156"/>
      <c r="D28" s="157">
        <v>41456</v>
      </c>
      <c r="E28" s="55">
        <v>24500</v>
      </c>
      <c r="F28" s="55">
        <v>18581.560000000001</v>
      </c>
      <c r="G28" s="58" t="e">
        <f>+'Tx de Cambio exc. ESP e China'!U30</f>
        <v>#REF!</v>
      </c>
      <c r="H28" s="58" t="e">
        <f>+'Tx de Cambio exc. ESP e China'!U47</f>
        <v>#REF!</v>
      </c>
      <c r="I28" s="56">
        <f t="shared" si="1"/>
        <v>0</v>
      </c>
      <c r="J28" s="56">
        <f t="shared" si="1"/>
        <v>-0.75383896306829845</v>
      </c>
      <c r="K28" s="56" t="e">
        <f t="shared" si="1"/>
        <v>#REF!</v>
      </c>
      <c r="L28" s="57" t="e">
        <f t="shared" si="1"/>
        <v>#REF!</v>
      </c>
    </row>
    <row r="29" spans="3:12" ht="18" customHeight="1" x14ac:dyDescent="0.25">
      <c r="C29" s="156"/>
      <c r="D29" s="157">
        <v>41487</v>
      </c>
      <c r="E29" s="55">
        <v>24500</v>
      </c>
      <c r="F29" s="55">
        <v>18543.70409090909</v>
      </c>
      <c r="G29" s="58" t="e">
        <f>+'Tx de Cambio exc. ESP e China'!V30</f>
        <v>#REF!</v>
      </c>
      <c r="H29" s="58" t="e">
        <f>+'Tx de Cambio exc. ESP e China'!V47</f>
        <v>#REF!</v>
      </c>
      <c r="I29" s="56">
        <f t="shared" si="1"/>
        <v>0</v>
      </c>
      <c r="J29" s="56">
        <f t="shared" si="1"/>
        <v>-0.20372836882861511</v>
      </c>
      <c r="K29" s="56" t="e">
        <f t="shared" si="1"/>
        <v>#REF!</v>
      </c>
      <c r="L29" s="57" t="e">
        <f t="shared" si="1"/>
        <v>#REF!</v>
      </c>
    </row>
    <row r="30" spans="3:12" ht="18" customHeight="1" x14ac:dyDescent="0.25">
      <c r="C30" s="156"/>
      <c r="D30" s="157">
        <v>41518</v>
      </c>
      <c r="E30" s="55">
        <v>24500</v>
      </c>
      <c r="F30" s="55">
        <v>18510.983684210529</v>
      </c>
      <c r="G30" s="58" t="e">
        <f>+'Tx de Cambio exc. ESP e China'!W30</f>
        <v>#REF!</v>
      </c>
      <c r="H30" s="58" t="e">
        <f>+'Tx de Cambio exc. ESP e China'!W47</f>
        <v>#REF!</v>
      </c>
      <c r="I30" s="56">
        <f t="shared" si="1"/>
        <v>0</v>
      </c>
      <c r="J30" s="56">
        <f t="shared" si="1"/>
        <v>-0.1764502201833662</v>
      </c>
      <c r="K30" s="56" t="e">
        <f t="shared" si="1"/>
        <v>#REF!</v>
      </c>
      <c r="L30" s="57" t="e">
        <f>(H30/H29-1)*100</f>
        <v>#REF!</v>
      </c>
    </row>
    <row r="31" spans="3:12" ht="18" customHeight="1" x14ac:dyDescent="0.25">
      <c r="C31" s="156"/>
      <c r="D31" s="157">
        <v>41548</v>
      </c>
      <c r="E31" s="55">
        <v>24500</v>
      </c>
      <c r="F31" s="55">
        <v>18110.236956521741</v>
      </c>
      <c r="G31" s="58" t="e">
        <f>+'Tx de Cambio exc. ESP e China'!X30</f>
        <v>#REF!</v>
      </c>
      <c r="H31" s="58" t="e">
        <f>+'Tx de Cambio exc. ESP e China'!X47</f>
        <v>#REF!</v>
      </c>
      <c r="I31" s="56">
        <f t="shared" si="1"/>
        <v>0</v>
      </c>
      <c r="J31" s="56">
        <f t="shared" si="1"/>
        <v>-2.164913191677742</v>
      </c>
      <c r="K31" s="56" t="e">
        <f t="shared" si="1"/>
        <v>#REF!</v>
      </c>
      <c r="L31" s="57" t="e">
        <f>(H31/H30-1)*100</f>
        <v>#REF!</v>
      </c>
    </row>
    <row r="32" spans="3:12" ht="18" customHeight="1" x14ac:dyDescent="0.25">
      <c r="C32" s="156"/>
      <c r="D32" s="157">
        <v>41579</v>
      </c>
      <c r="E32" s="55">
        <v>24500</v>
      </c>
      <c r="F32" s="55">
        <v>18292.38380952381</v>
      </c>
      <c r="G32" s="58" t="e">
        <f>+'Tx de Cambio exc. ESP e China'!Y30</f>
        <v>#REF!</v>
      </c>
      <c r="H32" s="58" t="e">
        <f>+'Tx de Cambio exc. ESP e China'!Y47</f>
        <v>#REF!</v>
      </c>
      <c r="I32" s="56">
        <f t="shared" si="1"/>
        <v>0</v>
      </c>
      <c r="J32" s="56">
        <f t="shared" si="1"/>
        <v>1.005767364829957</v>
      </c>
      <c r="K32" s="56" t="e">
        <f t="shared" si="1"/>
        <v>#REF!</v>
      </c>
      <c r="L32" s="57" t="e">
        <f t="shared" si="1"/>
        <v>#REF!</v>
      </c>
    </row>
    <row r="33" spans="3:12" ht="18" customHeight="1" x14ac:dyDescent="0.25">
      <c r="C33" s="156"/>
      <c r="D33" s="157">
        <v>41609</v>
      </c>
      <c r="E33" s="55">
        <v>24500</v>
      </c>
      <c r="F33" s="55">
        <v>18025.661428571435</v>
      </c>
      <c r="G33" s="58" t="e">
        <f>+'Tx de Cambio exc. ESP e China'!Z30</f>
        <v>#REF!</v>
      </c>
      <c r="H33" s="58" t="e">
        <f>+'Tx de Cambio exc. ESP e China'!Z47</f>
        <v>#REF!</v>
      </c>
      <c r="I33" s="56">
        <f t="shared" si="1"/>
        <v>0</v>
      </c>
      <c r="J33" s="56">
        <f>(F33/F32-1)*100</f>
        <v>-1.4581061917884552</v>
      </c>
      <c r="K33" s="56" t="e">
        <f>(G33/G32-1)*100</f>
        <v>#REF!</v>
      </c>
      <c r="L33" s="57" t="e">
        <f>(H33/H32-1)*100</f>
        <v>#REF!</v>
      </c>
    </row>
    <row r="34" spans="3:12" ht="18" customHeight="1" x14ac:dyDescent="0.25">
      <c r="C34" s="152">
        <v>2014</v>
      </c>
      <c r="D34" s="153"/>
      <c r="E34" s="52"/>
      <c r="F34" s="55"/>
      <c r="G34" s="58"/>
      <c r="H34" s="58"/>
      <c r="I34" s="56"/>
      <c r="J34" s="56"/>
      <c r="K34" s="56"/>
      <c r="L34" s="57"/>
    </row>
    <row r="35" spans="3:12" ht="18" customHeight="1" x14ac:dyDescent="0.25">
      <c r="C35" s="156"/>
      <c r="D35" s="157">
        <v>41640</v>
      </c>
      <c r="E35" s="55">
        <v>24500</v>
      </c>
      <c r="F35" s="55">
        <v>18119.813181818183</v>
      </c>
      <c r="G35" s="58" t="e">
        <f>'Tx de Cambio exc. ESP e China'!$AA$30</f>
        <v>#REF!</v>
      </c>
      <c r="H35" s="58" t="e">
        <f>'Tx de Cambio exc. ESP e China'!$AA$47</f>
        <v>#REF!</v>
      </c>
      <c r="I35" s="56">
        <f>(E35/E33-1)*100</f>
        <v>0</v>
      </c>
      <c r="J35" s="56">
        <f>(F35/F33-1)*100</f>
        <v>0.52232065724653332</v>
      </c>
      <c r="K35" s="56" t="e">
        <f>(G35/G33-1)*100</f>
        <v>#REF!</v>
      </c>
      <c r="L35" s="57" t="e">
        <f>(H35/H33-1)*100</f>
        <v>#REF!</v>
      </c>
    </row>
    <row r="36" spans="3:12" ht="18" customHeight="1" x14ac:dyDescent="0.25">
      <c r="C36" s="156"/>
      <c r="D36" s="157">
        <v>41671</v>
      </c>
      <c r="E36" s="55">
        <v>24500</v>
      </c>
      <c r="F36" s="55">
        <v>18082.282105263159</v>
      </c>
      <c r="G36" s="58" t="e">
        <f>'Tx de Cambio exc. ESP e China'!$AB$30</f>
        <v>#REF!</v>
      </c>
      <c r="H36" s="58" t="e">
        <f>'Tx de Cambio exc. ESP e China'!$AB$47</f>
        <v>#REF!</v>
      </c>
      <c r="I36" s="56">
        <f>(E36/E35-1)*100</f>
        <v>0</v>
      </c>
      <c r="J36" s="56">
        <f>(F36/F35-1)*100</f>
        <v>-0.20712728204440589</v>
      </c>
      <c r="K36" s="56" t="e">
        <f>(G36/G35-1)*100</f>
        <v>#REF!</v>
      </c>
      <c r="L36" s="57" t="e">
        <f>(H36/H35-1)*100</f>
        <v>#REF!</v>
      </c>
    </row>
    <row r="37" spans="3:12" ht="18" customHeight="1" x14ac:dyDescent="0.25">
      <c r="C37" s="156"/>
      <c r="D37" s="157">
        <v>41699</v>
      </c>
      <c r="E37" s="55">
        <v>24500</v>
      </c>
      <c r="F37" s="55">
        <v>17852.32</v>
      </c>
      <c r="G37" s="58" t="e">
        <f>'Tx de Cambio exc. ESP e China'!$AC$30</f>
        <v>#REF!</v>
      </c>
      <c r="H37" s="58" t="e">
        <f>'Tx de Cambio exc. ESP e China'!$AC$47</f>
        <v>#REF!</v>
      </c>
      <c r="I37" s="56">
        <f t="shared" si="1"/>
        <v>0</v>
      </c>
      <c r="J37" s="56">
        <f t="shared" si="1"/>
        <v>-1.2717537749077801</v>
      </c>
      <c r="K37" s="56" t="e">
        <f t="shared" si="1"/>
        <v>#REF!</v>
      </c>
      <c r="L37" s="57" t="e">
        <f t="shared" si="1"/>
        <v>#REF!</v>
      </c>
    </row>
    <row r="38" spans="3:12" ht="18" customHeight="1" x14ac:dyDescent="0.25">
      <c r="C38" s="156"/>
      <c r="D38" s="157">
        <v>41730</v>
      </c>
      <c r="E38" s="55">
        <v>24500</v>
      </c>
      <c r="F38" s="55">
        <v>17871.768421052635</v>
      </c>
      <c r="G38" s="58" t="e">
        <f>'Tx de Cambio exc. ESP e China'!$AD$30</f>
        <v>#REF!</v>
      </c>
      <c r="H38" s="58" t="e">
        <f>'Tx de Cambio exc. ESP e China'!$AD$47</f>
        <v>#REF!</v>
      </c>
      <c r="I38" s="56">
        <f t="shared" si="1"/>
        <v>0</v>
      </c>
      <c r="J38" s="56">
        <f t="shared" si="1"/>
        <v>0.10894058056676315</v>
      </c>
      <c r="K38" s="56" t="e">
        <f t="shared" si="1"/>
        <v>#REF!</v>
      </c>
      <c r="L38" s="57" t="e">
        <f>(H38/H37-1)*100</f>
        <v>#REF!</v>
      </c>
    </row>
    <row r="39" spans="3:12" ht="18" customHeight="1" x14ac:dyDescent="0.25">
      <c r="C39" s="156"/>
      <c r="D39" s="157">
        <v>41760</v>
      </c>
      <c r="E39" s="55">
        <v>24500</v>
      </c>
      <c r="F39" s="55">
        <v>17961.191666666669</v>
      </c>
      <c r="G39" s="58" t="e">
        <f>'Tx de Cambio exc. ESP e China'!$AE$30</f>
        <v>#REF!</v>
      </c>
      <c r="H39" s="58" t="e">
        <f>'Tx de Cambio exc. ESP e China'!$AE$47</f>
        <v>#REF!</v>
      </c>
      <c r="I39" s="56">
        <f t="shared" si="1"/>
        <v>0</v>
      </c>
      <c r="J39" s="56">
        <f t="shared" si="1"/>
        <v>0.50036036449920829</v>
      </c>
      <c r="K39" s="56" t="e">
        <f t="shared" si="1"/>
        <v>#REF!</v>
      </c>
      <c r="L39" s="57" t="e">
        <f t="shared" si="1"/>
        <v>#REF!</v>
      </c>
    </row>
    <row r="40" spans="3:12" ht="18" customHeight="1" x14ac:dyDescent="0.25">
      <c r="C40" s="156"/>
      <c r="D40" s="157">
        <v>41791</v>
      </c>
      <c r="E40" s="55">
        <v>24500</v>
      </c>
      <c r="F40" s="55">
        <v>18165.373</v>
      </c>
      <c r="G40" s="58" t="e">
        <f>'Tx de Cambio exc. ESP e China'!$AF$30</f>
        <v>#REF!</v>
      </c>
      <c r="H40" s="58" t="e">
        <f>'Tx de Cambio exc. ESP e China'!$AF$47</f>
        <v>#REF!</v>
      </c>
      <c r="I40" s="56">
        <f t="shared" ref="I40:L59" si="2">(E40/E39-1)*100</f>
        <v>0</v>
      </c>
      <c r="J40" s="56">
        <f t="shared" si="2"/>
        <v>1.136791684664562</v>
      </c>
      <c r="K40" s="56" t="e">
        <f t="shared" si="2"/>
        <v>#REF!</v>
      </c>
      <c r="L40" s="57" t="e">
        <f t="shared" si="2"/>
        <v>#REF!</v>
      </c>
    </row>
    <row r="41" spans="3:12" ht="18" customHeight="1" x14ac:dyDescent="0.25">
      <c r="C41" s="156"/>
      <c r="D41" s="157">
        <v>41821</v>
      </c>
      <c r="E41" s="55">
        <v>24500</v>
      </c>
      <c r="F41" s="55">
        <v>18215.712608695652</v>
      </c>
      <c r="G41" s="58" t="e">
        <f>'Tx de Cambio exc. ESP e China'!$AG$30</f>
        <v>#REF!</v>
      </c>
      <c r="H41" s="58" t="e">
        <f>'Tx de Cambio exc. ESP e China'!$AG$47</f>
        <v>#REF!</v>
      </c>
      <c r="I41" s="56">
        <f t="shared" si="2"/>
        <v>0</v>
      </c>
      <c r="J41" s="56">
        <f t="shared" si="2"/>
        <v>0.27711849735017058</v>
      </c>
      <c r="K41" s="56" t="e">
        <f t="shared" si="2"/>
        <v>#REF!</v>
      </c>
      <c r="L41" s="57" t="e">
        <f t="shared" si="2"/>
        <v>#REF!</v>
      </c>
    </row>
    <row r="42" spans="3:12" ht="18" customHeight="1" x14ac:dyDescent="0.25">
      <c r="C42" s="156"/>
      <c r="D42" s="157">
        <v>41852</v>
      </c>
      <c r="E42" s="55">
        <v>24500</v>
      </c>
      <c r="F42" s="55">
        <v>18524.765714285717</v>
      </c>
      <c r="G42" s="58" t="e">
        <f>'Tx de Cambio exc. ESP e China'!$AH$30</f>
        <v>#REF!</v>
      </c>
      <c r="H42" s="58" t="e">
        <f>'Tx de Cambio exc. ESP e China'!$AH$47</f>
        <v>#REF!</v>
      </c>
      <c r="I42" s="56">
        <f t="shared" si="2"/>
        <v>0</v>
      </c>
      <c r="J42" s="56">
        <f t="shared" si="2"/>
        <v>1.6966292355893531</v>
      </c>
      <c r="K42" s="56" t="e">
        <f t="shared" si="2"/>
        <v>#REF!</v>
      </c>
      <c r="L42" s="57" t="e">
        <f t="shared" si="2"/>
        <v>#REF!</v>
      </c>
    </row>
    <row r="43" spans="3:12" ht="18" customHeight="1" x14ac:dyDescent="0.25">
      <c r="C43" s="156"/>
      <c r="D43" s="157">
        <v>41883</v>
      </c>
      <c r="E43" s="55">
        <v>24500</v>
      </c>
      <c r="F43" s="55">
        <v>19077.663809523809</v>
      </c>
      <c r="G43" s="58" t="e">
        <f>'Tx de Cambio exc. ESP e China'!$AI$30</f>
        <v>#REF!</v>
      </c>
      <c r="H43" s="58" t="e">
        <f>'Tx de Cambio exc. ESP e China'!$AI$47</f>
        <v>#REF!</v>
      </c>
      <c r="I43" s="56">
        <f t="shared" si="2"/>
        <v>0</v>
      </c>
      <c r="J43" s="56">
        <f t="shared" si="2"/>
        <v>2.984642849284258</v>
      </c>
      <c r="K43" s="56" t="e">
        <f t="shared" si="2"/>
        <v>#REF!</v>
      </c>
      <c r="L43" s="57" t="e">
        <f t="shared" si="2"/>
        <v>#REF!</v>
      </c>
    </row>
    <row r="44" spans="3:12" ht="18" customHeight="1" x14ac:dyDescent="0.25">
      <c r="C44" s="156"/>
      <c r="D44" s="157">
        <v>41913</v>
      </c>
      <c r="E44" s="55">
        <v>24500</v>
      </c>
      <c r="F44" s="55">
        <v>19466.529565217392</v>
      </c>
      <c r="G44" s="58" t="e">
        <f>'Tx de Cambio exc. ESP e China'!$AJ$30</f>
        <v>#REF!</v>
      </c>
      <c r="H44" s="58" t="e">
        <f>'Tx de Cambio exc. ESP e China'!$AJ$47</f>
        <v>#REF!</v>
      </c>
      <c r="I44" s="56">
        <f t="shared" si="2"/>
        <v>0</v>
      </c>
      <c r="J44" s="56">
        <f t="shared" si="2"/>
        <v>2.0383300574751573</v>
      </c>
      <c r="K44" s="56" t="e">
        <f t="shared" si="2"/>
        <v>#REF!</v>
      </c>
      <c r="L44" s="57" t="e">
        <f t="shared" si="2"/>
        <v>#REF!</v>
      </c>
    </row>
    <row r="45" spans="3:12" ht="18" customHeight="1" x14ac:dyDescent="0.25">
      <c r="C45" s="156"/>
      <c r="D45" s="157">
        <v>41944</v>
      </c>
      <c r="E45" s="55">
        <v>24500</v>
      </c>
      <c r="F45" s="55">
        <v>19787.996500000001</v>
      </c>
      <c r="G45" s="58" t="e">
        <f>'Tx de Cambio exc. ESP e China'!$AK$30</f>
        <v>#REF!</v>
      </c>
      <c r="H45" s="58" t="e">
        <f>'Tx de Cambio exc. ESP e China'!$AK$47</f>
        <v>#REF!</v>
      </c>
      <c r="I45" s="56">
        <f t="shared" si="2"/>
        <v>0</v>
      </c>
      <c r="J45" s="56">
        <f t="shared" si="2"/>
        <v>1.6513828708174305</v>
      </c>
      <c r="K45" s="56" t="e">
        <f t="shared" si="2"/>
        <v>#REF!</v>
      </c>
      <c r="L45" s="57" t="e">
        <f t="shared" si="2"/>
        <v>#REF!</v>
      </c>
    </row>
    <row r="46" spans="3:12" ht="18" customHeight="1" x14ac:dyDescent="0.25">
      <c r="C46" s="156"/>
      <c r="D46" s="157">
        <v>41974</v>
      </c>
      <c r="E46" s="55">
        <v>24500</v>
      </c>
      <c r="F46" s="55">
        <v>20001.628636363635</v>
      </c>
      <c r="G46" s="58" t="e">
        <f>'Tx de Cambio exc. ESP e China'!$AL$30</f>
        <v>#REF!</v>
      </c>
      <c r="H46" s="58" t="e">
        <f>'Tx de Cambio exc. ESP e China'!$AL$47</f>
        <v>#REF!</v>
      </c>
      <c r="I46" s="56">
        <f>(E46/E45-1)*100</f>
        <v>0</v>
      </c>
      <c r="J46" s="56">
        <f>(F46/F45-1)*100</f>
        <v>1.0796046803608128</v>
      </c>
      <c r="K46" s="56" t="e">
        <f>(G46/G45-1)*100</f>
        <v>#REF!</v>
      </c>
      <c r="L46" s="57" t="e">
        <f>(H46/H45-1)*100</f>
        <v>#REF!</v>
      </c>
    </row>
    <row r="47" spans="3:12" ht="18" customHeight="1" x14ac:dyDescent="0.25">
      <c r="C47" s="152">
        <v>2015</v>
      </c>
      <c r="D47" s="153"/>
      <c r="E47" s="52"/>
      <c r="F47" s="55"/>
      <c r="G47" s="58"/>
      <c r="H47" s="58"/>
      <c r="I47" s="56"/>
      <c r="J47" s="56"/>
      <c r="K47" s="56"/>
      <c r="L47" s="57"/>
    </row>
    <row r="48" spans="3:12" ht="18" customHeight="1" x14ac:dyDescent="0.25">
      <c r="C48" s="156"/>
      <c r="D48" s="157">
        <v>42005</v>
      </c>
      <c r="E48" s="55">
        <v>24500</v>
      </c>
      <c r="F48" s="55">
        <v>21090.220999999998</v>
      </c>
      <c r="G48" s="58" t="e">
        <f>'Tx de Cambio exc. ESP e China'!$AM$30</f>
        <v>#REF!</v>
      </c>
      <c r="H48" s="58" t="e">
        <f>'Tx de Cambio exc. ESP e China'!$AM$47</f>
        <v>#REF!</v>
      </c>
      <c r="I48" s="56">
        <f>(E48/E46-1)*100</f>
        <v>0</v>
      </c>
      <c r="J48" s="56">
        <f>(F48/F46-1)*100</f>
        <v>5.4425186239947632</v>
      </c>
      <c r="K48" s="56" t="e">
        <f>(G48/G46-1)*100</f>
        <v>#REF!</v>
      </c>
      <c r="L48" s="57" t="e">
        <f>(H48/H46-1)*100</f>
        <v>#REF!</v>
      </c>
    </row>
    <row r="49" spans="3:15" ht="18" customHeight="1" x14ac:dyDescent="0.25">
      <c r="C49" s="156"/>
      <c r="D49" s="157">
        <v>42036</v>
      </c>
      <c r="E49" s="55">
        <v>24500</v>
      </c>
      <c r="F49" s="55">
        <v>21745.043157894739</v>
      </c>
      <c r="G49" s="58" t="e">
        <f>'Tx de Cambio exc. ESP e China'!$AN$30</f>
        <v>#REF!</v>
      </c>
      <c r="H49" s="58" t="e">
        <f>'Tx de Cambio exc. ESP e China'!$AN$47</f>
        <v>#REF!</v>
      </c>
      <c r="I49" s="56">
        <f>(E49/E48-1)*100</f>
        <v>0</v>
      </c>
      <c r="J49" s="56">
        <f t="shared" si="2"/>
        <v>3.1048615275048208</v>
      </c>
      <c r="K49" s="56" t="e">
        <f>(G49/G48-1)*100</f>
        <v>#REF!</v>
      </c>
      <c r="L49" s="57" t="e">
        <f>(H49/H48-1)*100</f>
        <v>#REF!</v>
      </c>
    </row>
    <row r="50" spans="3:15" ht="18" customHeight="1" x14ac:dyDescent="0.25">
      <c r="C50" s="156"/>
      <c r="D50" s="157">
        <v>42064</v>
      </c>
      <c r="E50" s="55">
        <v>24500</v>
      </c>
      <c r="F50" s="55">
        <v>22739.006818181813</v>
      </c>
      <c r="G50" s="58" t="e">
        <f>'Tx de Cambio exc. ESP e China'!$AO$30</f>
        <v>#REF!</v>
      </c>
      <c r="H50" s="58" t="e">
        <f>'Tx de Cambio exc. ESP e China'!$AO$47</f>
        <v>#REF!</v>
      </c>
      <c r="I50" s="56">
        <f t="shared" si="2"/>
        <v>0</v>
      </c>
      <c r="J50" s="56">
        <f t="shared" si="2"/>
        <v>4.5709895955125202</v>
      </c>
      <c r="K50" s="56" t="e">
        <f t="shared" si="2"/>
        <v>#REF!</v>
      </c>
      <c r="L50" s="57" t="e">
        <f t="shared" si="2"/>
        <v>#REF!</v>
      </c>
    </row>
    <row r="51" spans="3:15" ht="18" customHeight="1" x14ac:dyDescent="0.25">
      <c r="C51" s="156"/>
      <c r="D51" s="157">
        <v>42095</v>
      </c>
      <c r="E51" s="55">
        <v>24500</v>
      </c>
      <c r="F51" s="55">
        <v>22936.109545454543</v>
      </c>
      <c r="G51" s="58" t="e">
        <f>'Tx de Cambio exc. ESP e China'!$AP$30</f>
        <v>#REF!</v>
      </c>
      <c r="H51" s="58" t="e">
        <f>'Tx de Cambio exc. ESP e China'!$AP$47</f>
        <v>#REF!</v>
      </c>
      <c r="I51" s="56">
        <f t="shared" si="2"/>
        <v>0</v>
      </c>
      <c r="J51" s="56">
        <f t="shared" si="2"/>
        <v>0.86680446885274431</v>
      </c>
      <c r="K51" s="56" t="e">
        <f t="shared" si="2"/>
        <v>#REF!</v>
      </c>
      <c r="L51" s="57" t="e">
        <f t="shared" si="2"/>
        <v>#REF!</v>
      </c>
    </row>
    <row r="52" spans="3:15" ht="18" customHeight="1" x14ac:dyDescent="0.25">
      <c r="C52" s="156"/>
      <c r="D52" s="157">
        <v>42125</v>
      </c>
      <c r="E52" s="55">
        <v>24500</v>
      </c>
      <c r="F52" s="55">
        <v>22118.911</v>
      </c>
      <c r="G52" s="58" t="e">
        <f>'Tx de Cambio exc. ESP e China'!$AQ$30</f>
        <v>#REF!</v>
      </c>
      <c r="H52" s="58" t="e">
        <f>'Tx de Cambio exc. ESP e China'!$AQ$47</f>
        <v>#REF!</v>
      </c>
      <c r="I52" s="56">
        <f t="shared" si="2"/>
        <v>0</v>
      </c>
      <c r="J52" s="56">
        <f t="shared" si="2"/>
        <v>-3.5629344367885341</v>
      </c>
      <c r="K52" s="56" t="e">
        <f t="shared" si="2"/>
        <v>#REF!</v>
      </c>
      <c r="L52" s="57" t="e">
        <f t="shared" si="2"/>
        <v>#REF!</v>
      </c>
    </row>
    <row r="53" spans="3:15" ht="18" customHeight="1" x14ac:dyDescent="0.25">
      <c r="C53" s="156"/>
      <c r="D53" s="157">
        <v>42156</v>
      </c>
      <c r="E53" s="55">
        <v>24500</v>
      </c>
      <c r="F53" s="55">
        <v>22034.725909090899</v>
      </c>
      <c r="G53" s="58" t="e">
        <f>'Tx de Cambio exc. ESP e China'!$AR$30</f>
        <v>#REF!</v>
      </c>
      <c r="H53" s="58" t="e">
        <f>'Tx de Cambio exc. ESP e China'!$AR$47</f>
        <v>#REF!</v>
      </c>
      <c r="I53" s="56">
        <f t="shared" si="2"/>
        <v>0</v>
      </c>
      <c r="J53" s="56">
        <f t="shared" si="2"/>
        <v>-0.38060233123186071</v>
      </c>
      <c r="K53" s="56" t="e">
        <f t="shared" si="2"/>
        <v>#REF!</v>
      </c>
      <c r="L53" s="57" t="e">
        <f t="shared" si="2"/>
        <v>#REF!</v>
      </c>
    </row>
    <row r="54" spans="3:15" ht="18" customHeight="1" x14ac:dyDescent="0.25">
      <c r="C54" s="156"/>
      <c r="D54" s="157">
        <v>42186</v>
      </c>
      <c r="E54" s="55">
        <v>24500</v>
      </c>
      <c r="F54" s="55">
        <v>22446.694090909088</v>
      </c>
      <c r="G54" s="58" t="e">
        <f>'Tx de Cambio exc. ESP e China'!$AS$30</f>
        <v>#REF!</v>
      </c>
      <c r="H54" s="58" t="e">
        <f>'Tx de Cambio exc. ESP e China'!$AS$47</f>
        <v>#REF!</v>
      </c>
      <c r="I54" s="56">
        <f t="shared" si="2"/>
        <v>0</v>
      </c>
      <c r="J54" s="56">
        <f t="shared" si="2"/>
        <v>1.8696315239765449</v>
      </c>
      <c r="K54" s="56" t="e">
        <f t="shared" si="2"/>
        <v>#REF!</v>
      </c>
      <c r="L54" s="57" t="e">
        <f t="shared" si="2"/>
        <v>#REF!</v>
      </c>
    </row>
    <row r="55" spans="3:15" ht="18" customHeight="1" x14ac:dyDescent="0.25">
      <c r="C55" s="156"/>
      <c r="D55" s="157">
        <v>42217</v>
      </c>
      <c r="E55" s="55">
        <v>24500</v>
      </c>
      <c r="F55" s="55">
        <v>22189.170476190477</v>
      </c>
      <c r="G55" s="58" t="e">
        <f>'Tx de Cambio exc. ESP e China'!$AT$30</f>
        <v>#REF!</v>
      </c>
      <c r="H55" s="58" t="e">
        <f>'Tx de Cambio exc. ESP e China'!$AT$47</f>
        <v>#REF!</v>
      </c>
      <c r="I55" s="56">
        <f t="shared" si="2"/>
        <v>0</v>
      </c>
      <c r="J55" s="56">
        <f t="shared" si="2"/>
        <v>-1.1472674491648571</v>
      </c>
      <c r="K55" s="56" t="e">
        <f t="shared" si="2"/>
        <v>#REF!</v>
      </c>
      <c r="L55" s="57" t="e">
        <f t="shared" si="2"/>
        <v>#REF!</v>
      </c>
    </row>
    <row r="56" spans="3:15" ht="18" customHeight="1" x14ac:dyDescent="0.25">
      <c r="C56" s="156"/>
      <c r="D56" s="157">
        <v>42248</v>
      </c>
      <c r="E56" s="55">
        <v>24500</v>
      </c>
      <c r="F56" s="55">
        <v>21995.646666666664</v>
      </c>
      <c r="G56" s="58" t="e">
        <f>'Tx de Cambio exc. ESP e China'!$AU$30</f>
        <v>#REF!</v>
      </c>
      <c r="H56" s="58" t="e">
        <f>'Tx de Cambio exc. ESP e China'!$AU$47</f>
        <v>#REF!</v>
      </c>
      <c r="I56" s="56">
        <f t="shared" si="2"/>
        <v>0</v>
      </c>
      <c r="J56" s="56">
        <f t="shared" si="2"/>
        <v>-0.87215432290029815</v>
      </c>
      <c r="K56" s="56" t="e">
        <f t="shared" si="2"/>
        <v>#REF!</v>
      </c>
      <c r="L56" s="57" t="e">
        <f t="shared" si="2"/>
        <v>#REF!</v>
      </c>
    </row>
    <row r="57" spans="3:15" ht="18" customHeight="1" x14ac:dyDescent="0.25">
      <c r="C57" s="156"/>
      <c r="D57" s="157">
        <v>42278</v>
      </c>
      <c r="E57" s="55">
        <v>24500</v>
      </c>
      <c r="F57" s="55">
        <v>21957.07454545455</v>
      </c>
      <c r="G57" s="58" t="e">
        <f>'Tx de Cambio exc. ESP e China'!$AV$30</f>
        <v>#REF!</v>
      </c>
      <c r="H57" s="58" t="e">
        <f>'Tx de Cambio exc. ESP e China'!$AV$47</f>
        <v>#REF!</v>
      </c>
      <c r="I57" s="56">
        <f t="shared" si="2"/>
        <v>0</v>
      </c>
      <c r="J57" s="56">
        <f t="shared" si="2"/>
        <v>-0.1753625242151502</v>
      </c>
      <c r="K57" s="56" t="e">
        <f t="shared" si="2"/>
        <v>#REF!</v>
      </c>
      <c r="L57" s="57" t="e">
        <f t="shared" si="2"/>
        <v>#REF!</v>
      </c>
    </row>
    <row r="58" spans="3:15" ht="18" customHeight="1" x14ac:dyDescent="0.25">
      <c r="C58" s="156"/>
      <c r="D58" s="157">
        <v>42309</v>
      </c>
      <c r="E58" s="55">
        <v>24500</v>
      </c>
      <c r="F58" s="55">
        <v>22950.647619047621</v>
      </c>
      <c r="G58" s="58" t="e">
        <f>'Tx de Cambio exc. ESP e China'!$AW$30</f>
        <v>#REF!</v>
      </c>
      <c r="H58" s="58" t="e">
        <f>'Tx de Cambio exc. ESP e China'!$AW$47</f>
        <v>#REF!</v>
      </c>
      <c r="I58" s="56">
        <f t="shared" si="2"/>
        <v>0</v>
      </c>
      <c r="J58" s="56">
        <f t="shared" si="2"/>
        <v>4.5250703664380332</v>
      </c>
      <c r="K58" s="56" t="e">
        <f t="shared" si="2"/>
        <v>#REF!</v>
      </c>
      <c r="L58" s="57" t="e">
        <f t="shared" si="2"/>
        <v>#REF!</v>
      </c>
    </row>
    <row r="59" spans="3:15" ht="21.75" customHeight="1" x14ac:dyDescent="0.25">
      <c r="C59" s="156"/>
      <c r="D59" s="157">
        <v>42339</v>
      </c>
      <c r="E59" s="55">
        <v>24500</v>
      </c>
      <c r="F59" s="55">
        <v>22722.941904761905</v>
      </c>
      <c r="G59" s="58" t="e">
        <f>'Tx de Cambio exc. ESP e China'!$AX$30</f>
        <v>#REF!</v>
      </c>
      <c r="H59" s="58" t="e">
        <f>'Tx de Cambio exc. ESP e China'!$AX$47</f>
        <v>#REF!</v>
      </c>
      <c r="I59" s="56">
        <f t="shared" si="2"/>
        <v>0</v>
      </c>
      <c r="J59" s="56">
        <f t="shared" si="2"/>
        <v>-0.99215376430917823</v>
      </c>
      <c r="K59" s="56" t="e">
        <f>(G59/G58-1)*100</f>
        <v>#REF!</v>
      </c>
      <c r="L59" s="57" t="e">
        <f>(H59/H58-1)*100</f>
        <v>#REF!</v>
      </c>
      <c r="M59" s="158"/>
      <c r="N59" s="159"/>
      <c r="O59" s="159"/>
    </row>
    <row r="60" spans="3:15" ht="24.75" customHeight="1" x14ac:dyDescent="0.25">
      <c r="C60" s="152">
        <v>2016</v>
      </c>
      <c r="D60" s="153"/>
      <c r="E60" s="62"/>
      <c r="F60" s="63"/>
      <c r="G60" s="64"/>
      <c r="H60" s="64"/>
      <c r="I60" s="56"/>
      <c r="J60" s="56"/>
      <c r="K60" s="56"/>
      <c r="L60" s="57"/>
      <c r="M60" s="158"/>
    </row>
    <row r="61" spans="3:15" ht="24.75" customHeight="1" x14ac:dyDescent="0.25">
      <c r="C61" s="156"/>
      <c r="D61" s="157">
        <v>42005</v>
      </c>
      <c r="E61" s="55">
        <v>24500</v>
      </c>
      <c r="F61" s="55">
        <f>[26]Taxa_Cambio_USD_Dobra!$Q$10</f>
        <v>22368.236842105256</v>
      </c>
      <c r="G61" s="58" t="e">
        <f>'Tx de Cambio exc. ESP e China'!$AY$30</f>
        <v>#REF!</v>
      </c>
      <c r="H61" s="56" t="e">
        <f>+'Tx de Cambio exc. ESP e China'!AY47</f>
        <v>#REF!</v>
      </c>
      <c r="I61" s="56">
        <f>(E61/E59-1)*100</f>
        <v>0</v>
      </c>
      <c r="J61" s="56">
        <f>(F61/F59-1)*100</f>
        <v>-1.5609997338518755</v>
      </c>
      <c r="K61" s="56" t="e">
        <f>(G61/G59-1)*100</f>
        <v>#REF!</v>
      </c>
      <c r="L61" s="57" t="e">
        <f>(H61/H59-1)*100</f>
        <v>#REF!</v>
      </c>
      <c r="M61" s="158"/>
    </row>
    <row r="62" spans="3:15" ht="24.75" customHeight="1" x14ac:dyDescent="0.25">
      <c r="C62" s="156"/>
      <c r="D62" s="157">
        <v>42401</v>
      </c>
      <c r="E62" s="55">
        <v>24500</v>
      </c>
      <c r="F62" s="55">
        <f>+[27]Tx_Cambio_Mercado_USD_Dobra!$C$157</f>
        <v>22233.977999999996</v>
      </c>
      <c r="G62" s="58" t="e">
        <f>'Tx de Cambio exc. ESP e China'!$AZ$30</f>
        <v>#REF!</v>
      </c>
      <c r="H62" s="72" t="e">
        <f>+'Tx de Cambio exc. ESP e China'!AZ47</f>
        <v>#REF!</v>
      </c>
      <c r="I62" s="56">
        <f t="shared" ref="I62:L70" si="3">(E62/E61-1)*100</f>
        <v>0</v>
      </c>
      <c r="J62" s="56">
        <f t="shared" si="3"/>
        <v>-0.60022094299598816</v>
      </c>
      <c r="K62" s="56" t="e">
        <f t="shared" si="3"/>
        <v>#REF!</v>
      </c>
      <c r="L62" s="57" t="e">
        <f t="shared" si="3"/>
        <v>#REF!</v>
      </c>
      <c r="M62" s="158"/>
    </row>
    <row r="63" spans="3:15" ht="24.75" customHeight="1" x14ac:dyDescent="0.25">
      <c r="C63" s="156"/>
      <c r="D63" s="157">
        <v>42430</v>
      </c>
      <c r="E63" s="55">
        <v>24500</v>
      </c>
      <c r="F63" s="55">
        <f>+[27]Taxa_Cambio_USD_Dobra!$Q$16</f>
        <v>22274.663913043481</v>
      </c>
      <c r="G63" s="58" t="e">
        <f>'Tx de Cambio exc. ESP e China'!$BA$30</f>
        <v>#REF!</v>
      </c>
      <c r="H63" s="58" t="e">
        <f>+'Tx de Cambio exc. ESP e China'!BA47</f>
        <v>#REF!</v>
      </c>
      <c r="I63" s="56">
        <f t="shared" si="3"/>
        <v>0</v>
      </c>
      <c r="J63" s="56">
        <f t="shared" si="3"/>
        <v>0.18298980525881525</v>
      </c>
      <c r="K63" s="56" t="e">
        <f t="shared" si="3"/>
        <v>#REF!</v>
      </c>
      <c r="L63" s="57" t="e">
        <f t="shared" si="3"/>
        <v>#REF!</v>
      </c>
      <c r="M63" s="158"/>
      <c r="N63" s="159"/>
      <c r="O63" s="159"/>
    </row>
    <row r="64" spans="3:15" ht="24.75" customHeight="1" x14ac:dyDescent="0.25">
      <c r="C64" s="156"/>
      <c r="D64" s="157">
        <v>42461</v>
      </c>
      <c r="E64" s="55">
        <v>24500</v>
      </c>
      <c r="F64" s="55">
        <f>[26]Taxa_Cambio_USD_Dobra!$Q$21</f>
        <v>21779.780952380952</v>
      </c>
      <c r="G64" s="58" t="e">
        <f>'Tx de Cambio exc. ESP e China'!$BB$30</f>
        <v>#REF!</v>
      </c>
      <c r="H64" s="58" t="e">
        <f>+'Tx de Cambio exc. ESP e China'!BB47</f>
        <v>#REF!</v>
      </c>
      <c r="I64" s="56">
        <f t="shared" si="3"/>
        <v>0</v>
      </c>
      <c r="J64" s="56">
        <f>(F64/F63-1)*100</f>
        <v>-2.2217303147399559</v>
      </c>
      <c r="K64" s="56" t="e">
        <f t="shared" si="3"/>
        <v>#REF!</v>
      </c>
      <c r="L64" s="57" t="e">
        <f t="shared" si="3"/>
        <v>#REF!</v>
      </c>
      <c r="M64" s="158"/>
      <c r="N64" s="159"/>
      <c r="O64" s="159"/>
    </row>
    <row r="65" spans="2:15" ht="24.75" customHeight="1" x14ac:dyDescent="0.25">
      <c r="C65" s="156"/>
      <c r="D65" s="157">
        <v>42491</v>
      </c>
      <c r="E65" s="55">
        <v>24500</v>
      </c>
      <c r="F65" s="55">
        <f>+[25]Taxa_Cambio_USD_Dobra!$Q$24</f>
        <v>21803.505000000008</v>
      </c>
      <c r="G65" s="58" t="e">
        <f>'Tx de Cambio exc. ESP e China'!$BC$30</f>
        <v>#REF!</v>
      </c>
      <c r="H65" s="58" t="e">
        <f>+'Tx de Cambio exc. ESP e China'!BC47</f>
        <v>#REF!</v>
      </c>
      <c r="I65" s="56">
        <f t="shared" si="3"/>
        <v>0</v>
      </c>
      <c r="J65" s="56">
        <f t="shared" si="3"/>
        <v>0.10892693398030229</v>
      </c>
      <c r="K65" s="56" t="e">
        <f t="shared" si="3"/>
        <v>#REF!</v>
      </c>
      <c r="L65" s="57" t="e">
        <f t="shared" si="3"/>
        <v>#REF!</v>
      </c>
      <c r="M65" s="158"/>
      <c r="N65" s="159"/>
      <c r="O65" s="159"/>
    </row>
    <row r="66" spans="2:15" ht="24.75" customHeight="1" x14ac:dyDescent="0.25">
      <c r="C66" s="156"/>
      <c r="D66" s="157">
        <v>42522</v>
      </c>
      <c r="E66" s="55">
        <v>24500</v>
      </c>
      <c r="F66" s="55">
        <f>+[25]Taxa_Cambio_USD_Dobra!$Q$27</f>
        <v>21979.766818181819</v>
      </c>
      <c r="G66" s="58" t="e">
        <f>'Tx de Cambio exc. ESP e China'!$BD$30</f>
        <v>#REF!</v>
      </c>
      <c r="H66" s="58" t="e">
        <f>+'Tx de Cambio exc. ESP e China'!BD47</f>
        <v>#REF!</v>
      </c>
      <c r="I66" s="56">
        <f t="shared" si="3"/>
        <v>0</v>
      </c>
      <c r="J66" s="56">
        <f t="shared" si="3"/>
        <v>0.80841047428754642</v>
      </c>
      <c r="K66" s="56" t="e">
        <f t="shared" si="3"/>
        <v>#REF!</v>
      </c>
      <c r="L66" s="57" t="e">
        <f t="shared" si="3"/>
        <v>#REF!</v>
      </c>
      <c r="M66" s="158"/>
      <c r="N66" s="159"/>
      <c r="O66" s="159"/>
    </row>
    <row r="67" spans="2:15" ht="24.75" customHeight="1" x14ac:dyDescent="0.25">
      <c r="C67" s="156"/>
      <c r="D67" s="157">
        <v>42552</v>
      </c>
      <c r="E67" s="55">
        <v>24500</v>
      </c>
      <c r="F67" s="55">
        <f>+[25]Taxa_Cambio_USD_Dobra!$Q$32</f>
        <v>22300.517</v>
      </c>
      <c r="G67" s="58" t="e">
        <f>'Tx de Cambio exc. ESP e China'!$BE$30</f>
        <v>#REF!</v>
      </c>
      <c r="H67" s="58" t="e">
        <f>+'Tx de Cambio exc. ESP e China'!BE47</f>
        <v>#REF!</v>
      </c>
      <c r="I67" s="56">
        <f t="shared" si="3"/>
        <v>0</v>
      </c>
      <c r="J67" s="56">
        <f t="shared" si="3"/>
        <v>1.459297473314658</v>
      </c>
      <c r="K67" s="56" t="e">
        <f t="shared" si="3"/>
        <v>#REF!</v>
      </c>
      <c r="L67" s="57" t="e">
        <f t="shared" si="3"/>
        <v>#REF!</v>
      </c>
      <c r="M67" s="158"/>
      <c r="N67" s="159"/>
      <c r="O67" s="159"/>
    </row>
    <row r="68" spans="2:15" ht="18.75" customHeight="1" x14ac:dyDescent="0.25">
      <c r="C68" s="156"/>
      <c r="D68" s="157">
        <v>42583</v>
      </c>
      <c r="E68" s="55">
        <v>24500</v>
      </c>
      <c r="F68" s="55">
        <f>+[25]Taxa_Cambio_USD_Dobra!$Q$35</f>
        <v>22018.700434782611</v>
      </c>
      <c r="G68" s="58" t="e">
        <f>'Tx de Cambio exc. ESP e China'!$BF$30</f>
        <v>#REF!</v>
      </c>
      <c r="H68" s="58" t="e">
        <f>+'Tx de Cambio exc. ESP e China'!BF47</f>
        <v>#REF!</v>
      </c>
      <c r="I68" s="56">
        <f t="shared" si="3"/>
        <v>0</v>
      </c>
      <c r="J68" s="56">
        <f>(F68/F67-1)*100</f>
        <v>-1.2637221155787026</v>
      </c>
      <c r="K68" s="56" t="e">
        <f t="shared" si="3"/>
        <v>#REF!</v>
      </c>
      <c r="L68" s="57" t="e">
        <f>(H68/H67-1)*100</f>
        <v>#REF!</v>
      </c>
      <c r="M68" s="158"/>
      <c r="N68" s="159"/>
      <c r="O68" s="159"/>
    </row>
    <row r="69" spans="2:15" ht="24.75" customHeight="1" thickBot="1" x14ac:dyDescent="0.3">
      <c r="C69" s="156"/>
      <c r="D69" s="157">
        <v>42614</v>
      </c>
      <c r="E69" s="55">
        <v>24500</v>
      </c>
      <c r="F69" s="55">
        <f>+[25]Taxa_Cambio_USD_Dobra!$Q$38</f>
        <v>22013.848999999998</v>
      </c>
      <c r="G69" s="58" t="e">
        <f>'Tx de Cambio exc. ESP e China'!$BG$30</f>
        <v>#REF!</v>
      </c>
      <c r="H69" s="58" t="e">
        <f>+'Tx de Cambio exc. ESP e China'!BG47</f>
        <v>#REF!</v>
      </c>
      <c r="I69" s="56">
        <f t="shared" si="3"/>
        <v>0</v>
      </c>
      <c r="J69" s="56">
        <f t="shared" si="3"/>
        <v>-2.2033247588715277E-2</v>
      </c>
      <c r="K69" s="56" t="e">
        <f t="shared" si="3"/>
        <v>#REF!</v>
      </c>
      <c r="L69" s="57" t="e">
        <f t="shared" si="3"/>
        <v>#REF!</v>
      </c>
      <c r="M69" s="158"/>
      <c r="N69" s="159"/>
      <c r="O69" s="159"/>
    </row>
    <row r="70" spans="2:15" ht="24.75" hidden="1" customHeight="1" thickBot="1" x14ac:dyDescent="0.3">
      <c r="C70" s="156"/>
      <c r="D70" s="157">
        <v>42644</v>
      </c>
      <c r="E70" s="55">
        <v>24500</v>
      </c>
      <c r="F70" s="55">
        <f>+[25]Taxa_Cambio_USD_Dobra!$Q$43</f>
        <v>22368.362380952385</v>
      </c>
      <c r="G70" s="58">
        <f>'[28]Tx de Cambio exc. ESP e China'!$BH$30</f>
        <v>109.6061343186194</v>
      </c>
      <c r="H70" s="58" t="e">
        <f>+'[28]Tx de Cambio exc. ESP e China'!BH47</f>
        <v>#DIV/0!</v>
      </c>
      <c r="I70" s="56">
        <f t="shared" si="3"/>
        <v>0</v>
      </c>
      <c r="J70" s="56">
        <f t="shared" si="3"/>
        <v>1.6104107053354744</v>
      </c>
      <c r="K70" s="56" t="e">
        <f t="shared" si="3"/>
        <v>#REF!</v>
      </c>
      <c r="L70" s="57" t="e">
        <f t="shared" si="3"/>
        <v>#DIV/0!</v>
      </c>
      <c r="M70" s="160"/>
      <c r="N70" s="159"/>
      <c r="O70" s="159"/>
    </row>
    <row r="71" spans="2:15" ht="24.75" hidden="1" customHeight="1" x14ac:dyDescent="0.25">
      <c r="C71" s="156"/>
      <c r="D71" s="157">
        <v>42675</v>
      </c>
      <c r="E71" s="55">
        <v>24500</v>
      </c>
      <c r="F71" s="55"/>
      <c r="G71" s="58"/>
      <c r="H71" s="58"/>
      <c r="I71" s="56"/>
      <c r="J71" s="56"/>
      <c r="K71" s="56"/>
      <c r="L71" s="57"/>
      <c r="M71" s="158"/>
      <c r="N71" s="159"/>
      <c r="O71" s="159"/>
    </row>
    <row r="72" spans="2:15" ht="24.75" hidden="1" customHeight="1" thickBot="1" x14ac:dyDescent="0.3">
      <c r="C72" s="161"/>
      <c r="D72" s="162">
        <v>42705</v>
      </c>
      <c r="E72" s="55">
        <v>24500</v>
      </c>
      <c r="F72" s="65"/>
      <c r="G72" s="85"/>
      <c r="H72" s="85"/>
      <c r="I72" s="66"/>
      <c r="J72" s="66"/>
      <c r="K72" s="66"/>
      <c r="L72" s="67"/>
      <c r="M72" s="158"/>
      <c r="N72" s="159"/>
      <c r="O72" s="159"/>
    </row>
    <row r="73" spans="2:15" ht="14.25" x14ac:dyDescent="0.2">
      <c r="B73" s="151"/>
      <c r="C73" s="163" t="s">
        <v>32</v>
      </c>
      <c r="D73" s="164"/>
      <c r="E73" s="75"/>
      <c r="F73" s="76"/>
      <c r="G73" s="77"/>
      <c r="H73" s="77"/>
      <c r="I73" s="78"/>
      <c r="J73" s="78"/>
      <c r="K73" s="78"/>
      <c r="L73" s="78"/>
      <c r="M73" s="158"/>
      <c r="N73" s="159"/>
      <c r="O73" s="159"/>
    </row>
    <row r="74" spans="2:15" ht="25.5" customHeight="1" x14ac:dyDescent="0.2">
      <c r="B74" s="151"/>
      <c r="C74" s="251" t="s">
        <v>101</v>
      </c>
      <c r="D74" s="251"/>
      <c r="E74" s="251"/>
      <c r="F74" s="251"/>
      <c r="G74" s="251"/>
      <c r="H74" s="251"/>
      <c r="I74" s="251"/>
      <c r="J74" s="251"/>
      <c r="K74" s="251"/>
      <c r="L74" s="251"/>
      <c r="M74" s="158"/>
      <c r="N74" s="159"/>
      <c r="O74" s="159"/>
    </row>
    <row r="75" spans="2:15" x14ac:dyDescent="0.2">
      <c r="B75" s="151"/>
      <c r="C75" s="165" t="s">
        <v>36</v>
      </c>
      <c r="D75" s="166"/>
      <c r="E75" s="166"/>
      <c r="F75" s="166"/>
      <c r="G75" s="166"/>
      <c r="H75" s="166"/>
      <c r="I75" s="166"/>
      <c r="J75" s="166"/>
      <c r="K75" s="166"/>
      <c r="L75" s="166"/>
    </row>
    <row r="76" spans="2:15" hidden="1" x14ac:dyDescent="0.2"/>
    <row r="77" spans="2:15" ht="6" customHeight="1" x14ac:dyDescent="0.2"/>
    <row r="88" spans="6:6" x14ac:dyDescent="0.2">
      <c r="F88" s="151"/>
    </row>
  </sheetData>
  <mergeCells count="2">
    <mergeCell ref="I8:L8"/>
    <mergeCell ref="C74:L74"/>
  </mergeCells>
  <printOptions horizontalCentered="1" verticalCentered="1"/>
  <pageMargins left="0" right="0" top="0" bottom="0" header="0" footer="0"/>
  <pageSetup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T65"/>
  <sheetViews>
    <sheetView showGridLines="0" view="pageBreakPreview" topLeftCell="A22" zoomScale="118" zoomScaleNormal="100" zoomScaleSheetLayoutView="118" workbookViewId="0">
      <selection activeCell="L52" sqref="C3:L52"/>
    </sheetView>
  </sheetViews>
  <sheetFormatPr defaultColWidth="9.140625" defaultRowHeight="12.75" x14ac:dyDescent="0.2"/>
  <cols>
    <col min="1" max="2" width="9.140625" style="145"/>
    <col min="3" max="3" width="8" style="145" customWidth="1"/>
    <col min="4" max="4" width="7.28515625" style="145" customWidth="1"/>
    <col min="5" max="12" width="14" style="145" customWidth="1"/>
    <col min="13" max="13" width="10.28515625" style="145" bestFit="1" customWidth="1"/>
    <col min="14" max="14" width="9.28515625" style="145" bestFit="1" customWidth="1"/>
    <col min="15" max="16384" width="9.140625" style="145"/>
  </cols>
  <sheetData>
    <row r="2" spans="3:20" ht="13.5" thickBot="1" x14ac:dyDescent="0.25"/>
    <row r="3" spans="3:20" ht="15" customHeight="1" x14ac:dyDescent="0.25">
      <c r="C3" s="146"/>
      <c r="D3" s="34"/>
      <c r="E3" s="35"/>
      <c r="F3" s="35"/>
      <c r="G3" s="35"/>
      <c r="H3" s="35"/>
      <c r="I3" s="35"/>
      <c r="J3" s="36"/>
      <c r="K3" s="35"/>
      <c r="L3" s="37"/>
    </row>
    <row r="4" spans="3:20" ht="15" customHeight="1" x14ac:dyDescent="0.25">
      <c r="C4" s="38"/>
      <c r="D4" s="22"/>
      <c r="E4" s="39" t="s">
        <v>37</v>
      </c>
      <c r="F4" s="40"/>
      <c r="G4" s="40"/>
      <c r="H4" s="40"/>
      <c r="I4" s="40"/>
      <c r="J4" s="41"/>
      <c r="K4" s="40"/>
      <c r="L4" s="42"/>
    </row>
    <row r="5" spans="3:20" ht="15" customHeight="1" thickBot="1" x14ac:dyDescent="0.3">
      <c r="C5" s="43"/>
      <c r="D5" s="44"/>
      <c r="E5" s="45"/>
      <c r="F5" s="45"/>
      <c r="G5" s="45"/>
      <c r="H5" s="45"/>
      <c r="I5" s="147"/>
      <c r="J5" s="147"/>
      <c r="K5" s="147"/>
      <c r="L5" s="148"/>
    </row>
    <row r="6" spans="3:20" ht="4.5" customHeight="1" x14ac:dyDescent="0.25">
      <c r="C6" s="48"/>
      <c r="D6" s="49"/>
      <c r="E6" s="23"/>
      <c r="F6" s="23"/>
      <c r="G6" s="23"/>
      <c r="H6" s="23"/>
      <c r="I6" s="23"/>
      <c r="J6" s="23"/>
      <c r="K6" s="23"/>
      <c r="L6" s="30"/>
    </row>
    <row r="7" spans="3:20" ht="4.5" customHeight="1" x14ac:dyDescent="0.25">
      <c r="C7" s="48"/>
      <c r="D7" s="49"/>
      <c r="E7" s="23"/>
      <c r="F7" s="23"/>
      <c r="G7" s="23"/>
      <c r="H7" s="23"/>
      <c r="I7" s="149"/>
      <c r="J7" s="149"/>
      <c r="K7" s="149"/>
      <c r="L7" s="150"/>
      <c r="M7" s="151"/>
    </row>
    <row r="8" spans="3:20" ht="18" customHeight="1" x14ac:dyDescent="0.25">
      <c r="C8" s="48"/>
      <c r="D8" s="49"/>
      <c r="E8" s="52" t="s">
        <v>25</v>
      </c>
      <c r="F8" s="52" t="s">
        <v>26</v>
      </c>
      <c r="G8" s="52" t="s">
        <v>33</v>
      </c>
      <c r="H8" s="52" t="s">
        <v>34</v>
      </c>
      <c r="I8" s="248" t="s">
        <v>27</v>
      </c>
      <c r="J8" s="248"/>
      <c r="K8" s="248"/>
      <c r="L8" s="249"/>
    </row>
    <row r="9" spans="3:20" ht="18" customHeight="1" x14ac:dyDescent="0.25">
      <c r="C9" s="48"/>
      <c r="D9" s="49"/>
      <c r="E9" s="52"/>
      <c r="F9" s="52"/>
      <c r="G9" s="52"/>
      <c r="H9" s="52"/>
      <c r="I9" s="53" t="s">
        <v>25</v>
      </c>
      <c r="J9" s="53" t="s">
        <v>26</v>
      </c>
      <c r="K9" s="53" t="s">
        <v>99</v>
      </c>
      <c r="L9" s="54" t="s">
        <v>35</v>
      </c>
    </row>
    <row r="10" spans="3:20" ht="24.75" customHeight="1" x14ac:dyDescent="0.2">
      <c r="C10" s="168">
        <v>2001</v>
      </c>
      <c r="D10" s="169"/>
      <c r="E10" s="55">
        <v>7917.65</v>
      </c>
      <c r="F10" s="142">
        <v>8842.11</v>
      </c>
      <c r="G10" s="56">
        <v>100</v>
      </c>
      <c r="H10" s="56">
        <v>100</v>
      </c>
      <c r="I10" s="56"/>
      <c r="J10" s="56"/>
      <c r="K10" s="56"/>
      <c r="L10" s="57"/>
    </row>
    <row r="11" spans="3:20" ht="24.75" customHeight="1" x14ac:dyDescent="0.25">
      <c r="C11" s="168">
        <v>2002</v>
      </c>
      <c r="D11" s="169"/>
      <c r="E11" s="55">
        <v>8585.73</v>
      </c>
      <c r="F11" s="142">
        <v>9089.217499999997</v>
      </c>
      <c r="G11" s="56">
        <v>107.25036318960207</v>
      </c>
      <c r="H11" s="56">
        <v>98.998950523100078</v>
      </c>
      <c r="I11" s="56">
        <f>(E11/E10-1)*100</f>
        <v>8.437857192475029</v>
      </c>
      <c r="J11" s="56">
        <f>(F11/F10-1)*100</f>
        <v>2.7946666576190049</v>
      </c>
      <c r="K11" s="56">
        <f t="shared" ref="J11:L22" si="0">(G11/G10-1)*100</f>
        <v>7.2503631896020604</v>
      </c>
      <c r="L11" s="57">
        <f t="shared" si="0"/>
        <v>-1.0010494768999179</v>
      </c>
      <c r="M11" s="158"/>
      <c r="N11" s="159"/>
      <c r="O11" s="39"/>
      <c r="P11" s="40"/>
      <c r="Q11" s="40"/>
      <c r="R11" s="40"/>
      <c r="S11" s="40"/>
      <c r="T11" s="41"/>
    </row>
    <row r="12" spans="3:20" ht="24.75" customHeight="1" x14ac:dyDescent="0.2">
      <c r="C12" s="168">
        <v>2003</v>
      </c>
      <c r="D12" s="169"/>
      <c r="E12" s="55">
        <v>10567.56</v>
      </c>
      <c r="F12" s="55">
        <v>9347.5833333333321</v>
      </c>
      <c r="G12" s="56">
        <v>100.68148441040717</v>
      </c>
      <c r="H12" s="56">
        <v>86.685016207223043</v>
      </c>
      <c r="I12" s="56">
        <f t="shared" ref="I12:I22" si="1">(E12/E11-1)*100</f>
        <v>23.08283628765404</v>
      </c>
      <c r="J12" s="56">
        <f t="shared" si="0"/>
        <v>2.8425530947337796</v>
      </c>
      <c r="K12" s="56">
        <f t="shared" si="0"/>
        <v>-6.1248079576030401</v>
      </c>
      <c r="L12" s="57">
        <f t="shared" si="0"/>
        <v>-12.438449348009751</v>
      </c>
      <c r="M12" s="158"/>
      <c r="N12" s="159"/>
      <c r="O12" s="159"/>
    </row>
    <row r="13" spans="3:20" ht="24.75" customHeight="1" x14ac:dyDescent="0.2">
      <c r="C13" s="168">
        <v>2004</v>
      </c>
      <c r="D13" s="169"/>
      <c r="E13" s="55">
        <v>12305.87</v>
      </c>
      <c r="F13" s="55">
        <v>9902.3241666666672</v>
      </c>
      <c r="G13" s="56">
        <v>90.215555389009069</v>
      </c>
      <c r="H13" s="56">
        <v>80.271905373932555</v>
      </c>
      <c r="I13" s="56">
        <f t="shared" si="1"/>
        <v>16.449492598102132</v>
      </c>
      <c r="J13" s="56">
        <f t="shared" si="0"/>
        <v>5.9345909370514871</v>
      </c>
      <c r="K13" s="56">
        <f t="shared" si="0"/>
        <v>-10.39508811643649</v>
      </c>
      <c r="L13" s="57">
        <f t="shared" si="0"/>
        <v>-7.3981768867179554</v>
      </c>
      <c r="M13" s="158"/>
      <c r="N13" s="159"/>
      <c r="O13" s="159"/>
    </row>
    <row r="14" spans="3:20" ht="24.75" customHeight="1" x14ac:dyDescent="0.2">
      <c r="C14" s="168">
        <v>2005</v>
      </c>
      <c r="D14" s="169"/>
      <c r="E14" s="55">
        <v>13123.41</v>
      </c>
      <c r="F14" s="55">
        <v>10557.966881659209</v>
      </c>
      <c r="G14" s="56">
        <v>85.464694495306077</v>
      </c>
      <c r="H14" s="56">
        <v>83.862757747074738</v>
      </c>
      <c r="I14" s="56">
        <f t="shared" si="1"/>
        <v>6.6434961526490977</v>
      </c>
      <c r="J14" s="56">
        <f t="shared" si="0"/>
        <v>6.6210992889888853</v>
      </c>
      <c r="K14" s="56">
        <f t="shared" si="0"/>
        <v>-5.2661216496615264</v>
      </c>
      <c r="L14" s="57">
        <f t="shared" si="0"/>
        <v>4.4733613291161101</v>
      </c>
      <c r="M14" s="158"/>
      <c r="N14" s="159"/>
      <c r="O14" s="159"/>
    </row>
    <row r="15" spans="3:20" ht="24.75" customHeight="1" x14ac:dyDescent="0.2">
      <c r="C15" s="168">
        <v>2006</v>
      </c>
      <c r="D15" s="169"/>
      <c r="E15" s="55">
        <v>15629.73</v>
      </c>
      <c r="F15" s="55">
        <v>12448.478333333333</v>
      </c>
      <c r="G15" s="56">
        <v>70.640581126579193</v>
      </c>
      <c r="H15" s="56">
        <v>81.277328899312735</v>
      </c>
      <c r="I15" s="56">
        <f t="shared" si="1"/>
        <v>19.098085025157332</v>
      </c>
      <c r="J15" s="56">
        <f t="shared" si="0"/>
        <v>17.906018013356608</v>
      </c>
      <c r="K15" s="56">
        <f t="shared" si="0"/>
        <v>-17.345306686307826</v>
      </c>
      <c r="L15" s="57">
        <f t="shared" si="0"/>
        <v>-3.082928486038472</v>
      </c>
      <c r="M15" s="158"/>
      <c r="N15" s="159"/>
      <c r="O15" s="159"/>
    </row>
    <row r="16" spans="3:20" ht="24.75" customHeight="1" x14ac:dyDescent="0.2">
      <c r="C16" s="168">
        <v>2007</v>
      </c>
      <c r="D16" s="169"/>
      <c r="E16" s="55">
        <v>18558.11</v>
      </c>
      <c r="F16" s="55">
        <v>13536.757500000002</v>
      </c>
      <c r="G16" s="56">
        <v>60.002595479939366</v>
      </c>
      <c r="H16" s="56">
        <v>78.460698807648001</v>
      </c>
      <c r="I16" s="56">
        <f t="shared" si="1"/>
        <v>18.735960250113081</v>
      </c>
      <c r="J16" s="56">
        <f t="shared" si="0"/>
        <v>8.7422666250908776</v>
      </c>
      <c r="K16" s="56">
        <f t="shared" si="0"/>
        <v>-15.059312192771845</v>
      </c>
      <c r="L16" s="57">
        <f t="shared" si="0"/>
        <v>-3.4654560254483879</v>
      </c>
      <c r="M16" s="158"/>
      <c r="N16" s="159"/>
      <c r="O16" s="159"/>
    </row>
    <row r="17" spans="3:15" ht="24.75" customHeight="1" x14ac:dyDescent="0.2">
      <c r="C17" s="168">
        <v>2008</v>
      </c>
      <c r="D17" s="169"/>
      <c r="E17" s="55">
        <v>21616.42</v>
      </c>
      <c r="F17" s="55">
        <v>14695.204166666668</v>
      </c>
      <c r="G17" s="56">
        <v>52.022630518082885</v>
      </c>
      <c r="H17" s="56">
        <v>85.850092804356251</v>
      </c>
      <c r="I17" s="56">
        <f>(E17/E16-1)*100</f>
        <v>16.479641515218944</v>
      </c>
      <c r="J17" s="56">
        <f t="shared" si="0"/>
        <v>8.5577854716438964</v>
      </c>
      <c r="K17" s="56">
        <f t="shared" si="0"/>
        <v>-13.299366299120209</v>
      </c>
      <c r="L17" s="57">
        <f t="shared" si="0"/>
        <v>9.4179558798270122</v>
      </c>
      <c r="M17" s="158"/>
      <c r="N17" s="159"/>
      <c r="O17" s="159"/>
    </row>
    <row r="18" spans="3:15" ht="24.75" customHeight="1" x14ac:dyDescent="0.2">
      <c r="C18" s="168">
        <v>2009</v>
      </c>
      <c r="D18" s="169"/>
      <c r="E18" s="55">
        <v>22549.1</v>
      </c>
      <c r="F18" s="55">
        <v>16208.451254005831</v>
      </c>
      <c r="G18" s="56">
        <v>49.870279949043791</v>
      </c>
      <c r="H18" s="56">
        <v>94.313110200636913</v>
      </c>
      <c r="I18" s="56">
        <f t="shared" si="1"/>
        <v>4.3146830048639062</v>
      </c>
      <c r="J18" s="56">
        <f t="shared" si="0"/>
        <v>10.297557421976355</v>
      </c>
      <c r="K18" s="56">
        <f t="shared" si="0"/>
        <v>-4.1373351320459388</v>
      </c>
      <c r="L18" s="57">
        <f t="shared" si="0"/>
        <v>9.8579012786474518</v>
      </c>
      <c r="M18" s="158"/>
      <c r="N18" s="159"/>
      <c r="O18" s="159"/>
    </row>
    <row r="19" spans="3:15" ht="24.75" customHeight="1" x14ac:dyDescent="0.2">
      <c r="C19" s="168">
        <v>2010</v>
      </c>
      <c r="D19" s="169"/>
      <c r="E19" s="55">
        <v>24500</v>
      </c>
      <c r="F19" s="55">
        <v>18574.033779346046</v>
      </c>
      <c r="G19" s="56">
        <v>46.84935116042962</v>
      </c>
      <c r="H19" s="56">
        <v>96.587071718108206</v>
      </c>
      <c r="I19" s="56">
        <f t="shared" si="1"/>
        <v>8.6517865458044962</v>
      </c>
      <c r="J19" s="56">
        <f t="shared" si="0"/>
        <v>14.594747445445</v>
      </c>
      <c r="K19" s="56">
        <f t="shared" si="0"/>
        <v>-6.0575733517054253</v>
      </c>
      <c r="L19" s="57">
        <f t="shared" si="0"/>
        <v>2.4110767979486525</v>
      </c>
      <c r="M19" s="158"/>
      <c r="N19" s="159"/>
      <c r="O19" s="159"/>
    </row>
    <row r="20" spans="3:15" ht="24.75" customHeight="1" x14ac:dyDescent="0.2">
      <c r="C20" s="168">
        <v>2011</v>
      </c>
      <c r="D20" s="169"/>
      <c r="E20" s="55">
        <v>24500</v>
      </c>
      <c r="F20" s="55">
        <v>17754.246182424256</v>
      </c>
      <c r="G20" s="56">
        <v>47.510643181403708</v>
      </c>
      <c r="H20" s="56">
        <v>106.0625354871281</v>
      </c>
      <c r="I20" s="56">
        <f>(E20/E19-1)*100</f>
        <v>0</v>
      </c>
      <c r="J20" s="56">
        <f t="shared" si="0"/>
        <v>-4.4136217617595674</v>
      </c>
      <c r="K20" s="56">
        <f t="shared" si="0"/>
        <v>1.4115286649532877</v>
      </c>
      <c r="L20" s="57">
        <f t="shared" si="0"/>
        <v>9.8102816458441424</v>
      </c>
      <c r="M20" s="158"/>
      <c r="N20" s="159"/>
      <c r="O20" s="159"/>
    </row>
    <row r="21" spans="3:15" ht="24.75" customHeight="1" x14ac:dyDescent="0.2">
      <c r="C21" s="168">
        <v>2012</v>
      </c>
      <c r="D21" s="169"/>
      <c r="E21" s="55">
        <v>24500</v>
      </c>
      <c r="F21" s="55">
        <v>19211.429966850592</v>
      </c>
      <c r="G21" s="56">
        <v>46.925777491526667</v>
      </c>
      <c r="H21" s="56">
        <v>111.22945769110939</v>
      </c>
      <c r="I21" s="56">
        <f t="shared" si="1"/>
        <v>0</v>
      </c>
      <c r="J21" s="56">
        <f t="shared" si="0"/>
        <v>8.2075226931846323</v>
      </c>
      <c r="K21" s="56">
        <f t="shared" si="0"/>
        <v>-1.2310203582046375</v>
      </c>
      <c r="L21" s="57">
        <f t="shared" si="0"/>
        <v>4.8715808840986474</v>
      </c>
      <c r="M21" s="158"/>
      <c r="N21" s="159"/>
      <c r="O21" s="159"/>
    </row>
    <row r="22" spans="3:15" ht="24.75" customHeight="1" x14ac:dyDescent="0.2">
      <c r="C22" s="168">
        <v>2013</v>
      </c>
      <c r="D22" s="169"/>
      <c r="E22" s="55">
        <v>24500</v>
      </c>
      <c r="F22" s="55">
        <v>18595.543308625201</v>
      </c>
      <c r="G22" s="58">
        <v>47.307498511530497</v>
      </c>
      <c r="H22" s="58">
        <v>118.93241915325477</v>
      </c>
      <c r="I22" s="56">
        <f t="shared" si="1"/>
        <v>0</v>
      </c>
      <c r="J22" s="56">
        <f>(F22/F21-1)*100</f>
        <v>-3.2058345437487201</v>
      </c>
      <c r="K22" s="56">
        <f t="shared" si="0"/>
        <v>0.81345699615260614</v>
      </c>
      <c r="L22" s="57">
        <f t="shared" si="0"/>
        <v>6.9252890574518</v>
      </c>
      <c r="M22" s="158"/>
      <c r="N22" s="159"/>
      <c r="O22" s="159"/>
    </row>
    <row r="23" spans="3:15" ht="24.75" customHeight="1" x14ac:dyDescent="0.2">
      <c r="C23" s="168">
        <v>2014</v>
      </c>
      <c r="D23" s="169"/>
      <c r="E23" s="55">
        <v>24500</v>
      </c>
      <c r="F23" s="55">
        <v>18593.920532805801</v>
      </c>
      <c r="G23" s="55">
        <v>47.496129786731139</v>
      </c>
      <c r="H23" s="55">
        <v>128.29735327810553</v>
      </c>
      <c r="I23" s="56">
        <f>(E23/E22-1)*100</f>
        <v>0</v>
      </c>
      <c r="J23" s="56">
        <f>(F23/F22-1)*100</f>
        <v>-8.7266921566464539E-3</v>
      </c>
      <c r="K23" s="56">
        <f>(G23/G22-1)*100</f>
        <v>0.39873441026407885</v>
      </c>
      <c r="L23" s="57">
        <f>(H23/H22-1)*100</f>
        <v>7.8741643292256747</v>
      </c>
      <c r="M23" s="158"/>
      <c r="N23" s="159"/>
      <c r="O23" s="159"/>
    </row>
    <row r="24" spans="3:15" ht="24.75" customHeight="1" thickBot="1" x14ac:dyDescent="0.25">
      <c r="C24" s="168"/>
      <c r="D24" s="169"/>
      <c r="E24" s="55"/>
      <c r="F24" s="55"/>
      <c r="G24" s="65"/>
      <c r="H24" s="65"/>
      <c r="I24" s="66"/>
      <c r="J24" s="66"/>
      <c r="K24" s="66"/>
      <c r="L24" s="67"/>
      <c r="M24" s="158"/>
      <c r="N24" s="159"/>
      <c r="O24" s="159"/>
    </row>
    <row r="25" spans="3:15" ht="24.75" customHeight="1" x14ac:dyDescent="0.25">
      <c r="C25" s="170"/>
      <c r="D25" s="171">
        <v>41640</v>
      </c>
      <c r="E25" s="172">
        <v>24500</v>
      </c>
      <c r="F25" s="173">
        <v>18119.813181818183</v>
      </c>
      <c r="G25" s="173">
        <v>47.671090803214987</v>
      </c>
      <c r="H25" s="173">
        <v>124.56978162060589</v>
      </c>
      <c r="I25" s="56">
        <f>(E25/E23-1)*100</f>
        <v>0</v>
      </c>
      <c r="J25" s="56">
        <f>(F25/F23-1)*100</f>
        <v>-2.5497976618278906</v>
      </c>
      <c r="K25" s="56">
        <f>(G25/G23-1)*100</f>
        <v>0.36836899610444007</v>
      </c>
      <c r="L25" s="57">
        <f>(H25/H23-1)*100</f>
        <v>-2.9054158657657703</v>
      </c>
      <c r="M25" s="158"/>
      <c r="N25" s="159"/>
      <c r="O25" s="159"/>
    </row>
    <row r="26" spans="3:15" ht="24.75" customHeight="1" x14ac:dyDescent="0.25">
      <c r="C26" s="156"/>
      <c r="D26" s="157">
        <v>41671</v>
      </c>
      <c r="E26" s="55">
        <v>24500</v>
      </c>
      <c r="F26" s="56">
        <v>18082.282105263159</v>
      </c>
      <c r="G26" s="56">
        <v>47.695836330970202</v>
      </c>
      <c r="H26" s="56">
        <v>125.32462050597663</v>
      </c>
      <c r="I26" s="56">
        <v>0</v>
      </c>
      <c r="J26" s="56">
        <f>(F26/F25-1)*100</f>
        <v>-0.20712728204440589</v>
      </c>
      <c r="K26" s="56">
        <f>(G26/G25-1)*100</f>
        <v>5.1908876718109731E-2</v>
      </c>
      <c r="L26" s="57">
        <f>(H26/H25-1)*100</f>
        <v>0.60595665782710029</v>
      </c>
      <c r="M26" s="158"/>
      <c r="N26" s="159"/>
      <c r="O26" s="159"/>
    </row>
    <row r="27" spans="3:15" ht="24.75" customHeight="1" x14ac:dyDescent="0.25">
      <c r="C27" s="156"/>
      <c r="D27" s="157">
        <v>41700</v>
      </c>
      <c r="E27" s="55">
        <v>24500</v>
      </c>
      <c r="F27" s="56">
        <v>17852.317249999996</v>
      </c>
      <c r="G27" s="56">
        <v>47.812681404092757</v>
      </c>
      <c r="H27" s="56">
        <v>127.30892801377991</v>
      </c>
      <c r="I27" s="56">
        <v>0</v>
      </c>
      <c r="J27" s="56">
        <f t="shared" ref="J27:L35" si="2">(F27/F26-1)*100</f>
        <v>-1.2717689831651668</v>
      </c>
      <c r="K27" s="56">
        <f t="shared" si="2"/>
        <v>0.24497960851708189</v>
      </c>
      <c r="L27" s="57">
        <f>(H27/H26-1)*100</f>
        <v>1.5833341443939553</v>
      </c>
      <c r="M27" s="158"/>
      <c r="N27" s="159"/>
      <c r="O27" s="159"/>
    </row>
    <row r="28" spans="3:15" ht="24.75" customHeight="1" x14ac:dyDescent="0.25">
      <c r="C28" s="156"/>
      <c r="D28" s="157">
        <v>41758</v>
      </c>
      <c r="E28" s="55">
        <v>24500</v>
      </c>
      <c r="F28" s="56">
        <v>17871.768421052635</v>
      </c>
      <c r="G28" s="56">
        <v>47.808127945265618</v>
      </c>
      <c r="H28" s="56">
        <v>127.80613563111156</v>
      </c>
      <c r="I28" s="56">
        <v>0</v>
      </c>
      <c r="J28" s="56">
        <f t="shared" si="2"/>
        <v>0.1089560015108848</v>
      </c>
      <c r="K28" s="56">
        <f t="shared" si="2"/>
        <v>-9.5235378845481833E-3</v>
      </c>
      <c r="L28" s="57">
        <f>(H28/H27-1)*100</f>
        <v>0.39055204147020461</v>
      </c>
      <c r="M28" s="158"/>
    </row>
    <row r="29" spans="3:15" ht="24.75" customHeight="1" x14ac:dyDescent="0.25">
      <c r="C29" s="156"/>
      <c r="D29" s="157">
        <v>41787</v>
      </c>
      <c r="E29" s="55">
        <v>24500</v>
      </c>
      <c r="F29" s="56">
        <v>17961.191666666669</v>
      </c>
      <c r="G29" s="56">
        <v>47.765795723889219</v>
      </c>
      <c r="H29" s="56">
        <v>128.88988213195657</v>
      </c>
      <c r="I29" s="56">
        <v>0</v>
      </c>
      <c r="J29" s="56">
        <f t="shared" si="2"/>
        <v>0.50036036449920829</v>
      </c>
      <c r="K29" s="56">
        <f t="shared" si="2"/>
        <v>-8.8546076150197717E-2</v>
      </c>
      <c r="L29" s="57">
        <f>(H29/H28-1)*100</f>
        <v>0.84796124653438998</v>
      </c>
      <c r="M29" s="158"/>
    </row>
    <row r="30" spans="3:15" ht="24.75" customHeight="1" x14ac:dyDescent="0.25">
      <c r="C30" s="156"/>
      <c r="D30" s="157">
        <v>41816</v>
      </c>
      <c r="E30" s="55">
        <v>24500</v>
      </c>
      <c r="F30" s="56">
        <v>18165.373</v>
      </c>
      <c r="G30" s="56">
        <v>47.651669084753529</v>
      </c>
      <c r="H30" s="56">
        <v>129.05484425200618</v>
      </c>
      <c r="I30" s="56">
        <v>0</v>
      </c>
      <c r="J30" s="56">
        <f t="shared" si="2"/>
        <v>1.136791684664562</v>
      </c>
      <c r="K30" s="56">
        <f t="shared" si="2"/>
        <v>-0.23892963030575087</v>
      </c>
      <c r="L30" s="57">
        <f>(H30/H29-1)*100</f>
        <v>0.12798686547073057</v>
      </c>
      <c r="M30" s="158"/>
    </row>
    <row r="31" spans="3:15" ht="24.75" customHeight="1" x14ac:dyDescent="0.25">
      <c r="C31" s="156"/>
      <c r="D31" s="157">
        <v>41846</v>
      </c>
      <c r="E31" s="55">
        <v>24500</v>
      </c>
      <c r="F31" s="56">
        <v>18215.712608695652</v>
      </c>
      <c r="G31" s="56">
        <v>47.577576984960963</v>
      </c>
      <c r="H31" s="56">
        <v>129.6607398063434</v>
      </c>
      <c r="I31" s="56">
        <v>0</v>
      </c>
      <c r="J31" s="56">
        <f t="shared" si="2"/>
        <v>0.27711849735017058</v>
      </c>
      <c r="K31" s="56">
        <f t="shared" si="2"/>
        <v>-0.15548689314698327</v>
      </c>
      <c r="L31" s="57">
        <f t="shared" si="2"/>
        <v>0.46948687424246405</v>
      </c>
      <c r="M31" s="158"/>
    </row>
    <row r="32" spans="3:15" ht="24.75" customHeight="1" x14ac:dyDescent="0.25">
      <c r="C32" s="156"/>
      <c r="D32" s="157">
        <v>41877</v>
      </c>
      <c r="E32" s="55">
        <v>24500</v>
      </c>
      <c r="F32" s="56">
        <v>18524.765714285717</v>
      </c>
      <c r="G32" s="56">
        <v>47.462000000000003</v>
      </c>
      <c r="H32" s="56">
        <v>129.4</v>
      </c>
      <c r="I32" s="56">
        <v>0</v>
      </c>
      <c r="J32" s="56">
        <f>(F32/F31-1)*100</f>
        <v>1.6966292355893531</v>
      </c>
      <c r="K32" s="56">
        <f t="shared" si="2"/>
        <v>-0.24292322620274032</v>
      </c>
      <c r="L32" s="57">
        <f t="shared" si="2"/>
        <v>-0.20109387524152034</v>
      </c>
      <c r="M32" s="158"/>
    </row>
    <row r="33" spans="3:15" ht="24.75" customHeight="1" x14ac:dyDescent="0.25">
      <c r="C33" s="156"/>
      <c r="D33" s="157">
        <v>41909</v>
      </c>
      <c r="E33" s="55">
        <v>24500</v>
      </c>
      <c r="F33" s="56">
        <v>19077.663809523809</v>
      </c>
      <c r="G33" s="56">
        <v>47.192912322898266</v>
      </c>
      <c r="H33" s="56">
        <v>128.58563281204522</v>
      </c>
      <c r="I33" s="56">
        <v>0</v>
      </c>
      <c r="J33" s="56">
        <f t="shared" si="2"/>
        <v>2.984642849284258</v>
      </c>
      <c r="K33" s="56">
        <f t="shared" si="2"/>
        <v>-0.56695393599456301</v>
      </c>
      <c r="L33" s="57">
        <f t="shared" si="2"/>
        <v>-0.62934094896042181</v>
      </c>
      <c r="M33" s="158"/>
      <c r="O33" s="174"/>
    </row>
    <row r="34" spans="3:15" ht="24.75" customHeight="1" x14ac:dyDescent="0.25">
      <c r="C34" s="156"/>
      <c r="D34" s="157">
        <v>41939</v>
      </c>
      <c r="E34" s="55">
        <v>24500</v>
      </c>
      <c r="F34" s="56">
        <v>19466.53</v>
      </c>
      <c r="G34" s="56">
        <v>47.091692544801141</v>
      </c>
      <c r="H34" s="56">
        <v>128.74564000947163</v>
      </c>
      <c r="I34" s="56">
        <v>0</v>
      </c>
      <c r="J34" s="56">
        <f>(F34/F33-1)*100</f>
        <v>2.038332336489046</v>
      </c>
      <c r="K34" s="56">
        <f t="shared" si="2"/>
        <v>-0.21448088942799259</v>
      </c>
      <c r="L34" s="57">
        <f t="shared" si="2"/>
        <v>0.12443629504106379</v>
      </c>
      <c r="M34" s="158"/>
      <c r="O34" s="31"/>
    </row>
    <row r="35" spans="3:15" ht="24.75" customHeight="1" x14ac:dyDescent="0.25">
      <c r="C35" s="156"/>
      <c r="D35" s="157">
        <v>41944</v>
      </c>
      <c r="E35" s="55">
        <v>24500</v>
      </c>
      <c r="F35" s="56">
        <v>19788</v>
      </c>
      <c r="G35" s="56">
        <v>47.110412821390803</v>
      </c>
      <c r="H35" s="56">
        <v>129.44921788405227</v>
      </c>
      <c r="I35" s="56">
        <v>0</v>
      </c>
      <c r="J35" s="56">
        <f t="shared" si="2"/>
        <v>1.651398580024277</v>
      </c>
      <c r="K35" s="56">
        <f t="shared" si="2"/>
        <v>3.9752821735716815E-2</v>
      </c>
      <c r="L35" s="57">
        <f t="shared" si="2"/>
        <v>0.54648675833128824</v>
      </c>
      <c r="M35" s="158"/>
    </row>
    <row r="36" spans="3:15" ht="24.75" customHeight="1" x14ac:dyDescent="0.25">
      <c r="C36" s="156"/>
      <c r="D36" s="157">
        <v>41974</v>
      </c>
      <c r="E36" s="55">
        <v>24500</v>
      </c>
      <c r="F36" s="56">
        <v>20001.628636363635</v>
      </c>
      <c r="G36" s="56">
        <v>47.150238417770197</v>
      </c>
      <c r="H36" s="56">
        <v>130.97633681031897</v>
      </c>
      <c r="I36" s="56">
        <v>0</v>
      </c>
      <c r="J36" s="56">
        <f>(F36/F35-1)*100</f>
        <v>1.0795868019185084</v>
      </c>
      <c r="K36" s="56">
        <f>(G36/G35-1)*100</f>
        <v>8.4536717031924447E-2</v>
      </c>
      <c r="L36" s="57">
        <f>(H36/H35-1)*100</f>
        <v>1.1797050235054618</v>
      </c>
      <c r="M36" s="158"/>
    </row>
    <row r="37" spans="3:15" ht="24.75" customHeight="1" x14ac:dyDescent="0.25">
      <c r="C37" s="152">
        <v>2015</v>
      </c>
      <c r="D37" s="153"/>
      <c r="E37" s="62"/>
      <c r="F37" s="63"/>
      <c r="G37" s="64"/>
      <c r="H37" s="64"/>
      <c r="I37" s="175"/>
      <c r="J37" s="175"/>
      <c r="K37" s="175"/>
      <c r="L37" s="176"/>
      <c r="M37" s="158"/>
    </row>
    <row r="38" spans="3:15" ht="24.75" customHeight="1" x14ac:dyDescent="0.25">
      <c r="C38" s="156"/>
      <c r="D38" s="157">
        <v>42005</v>
      </c>
      <c r="E38" s="55">
        <v>24500</v>
      </c>
      <c r="F38" s="55">
        <v>21090.22</v>
      </c>
      <c r="G38" s="56">
        <f>+'[24]Tx de Cambio Efetiva base 2001 '!AO28</f>
        <v>46.993510615401242</v>
      </c>
      <c r="H38" s="56">
        <f>+'[24]Tx de Cambio Efetiva base 2001 '!AO46</f>
        <v>138.4666180066383</v>
      </c>
      <c r="I38" s="56">
        <f>(E38/E36-1)*100</f>
        <v>0</v>
      </c>
      <c r="J38" s="56">
        <f>(F38/F36-1)*100</f>
        <v>5.4425136244019123</v>
      </c>
      <c r="K38" s="56" t="s">
        <v>44</v>
      </c>
      <c r="L38" s="57">
        <f>(H38/H36-1)*100</f>
        <v>5.7188049221187365</v>
      </c>
      <c r="M38" s="158"/>
    </row>
    <row r="39" spans="3:15" ht="24.75" customHeight="1" x14ac:dyDescent="0.25">
      <c r="C39" s="156"/>
      <c r="D39" s="157">
        <v>42036</v>
      </c>
      <c r="E39" s="55">
        <v>24500</v>
      </c>
      <c r="F39" s="55">
        <v>21745.043157894739</v>
      </c>
      <c r="G39" s="56">
        <v>46.634178521220058</v>
      </c>
      <c r="H39" s="72">
        <v>137.58745828048833</v>
      </c>
      <c r="I39" s="56">
        <f>(E39/E38-1)*100</f>
        <v>0</v>
      </c>
      <c r="J39" s="56">
        <f>(F39/F38-1)*100</f>
        <v>3.1048664162570905</v>
      </c>
      <c r="K39" s="56">
        <f>(G39/G38-1)*100</f>
        <v>-0.76464194625081028</v>
      </c>
      <c r="L39" s="57">
        <f>(H39/H38-1)*100</f>
        <v>-0.63492539848688523</v>
      </c>
      <c r="M39" s="158"/>
    </row>
    <row r="40" spans="3:15" ht="24.75" customHeight="1" x14ac:dyDescent="0.25">
      <c r="C40" s="156"/>
      <c r="D40" s="157">
        <v>42064</v>
      </c>
      <c r="E40" s="55">
        <v>24500</v>
      </c>
      <c r="F40" s="55">
        <v>22739.01</v>
      </c>
      <c r="G40" s="58">
        <f>'[24]Tx de Cambio Efetiva base 2001 '!$AQ$28</f>
        <v>46.384983792337231</v>
      </c>
      <c r="H40" s="58">
        <f>'[24]Tx de Cambio Efetiva base 2001 '!$AQ$46</f>
        <v>135.50381126461104</v>
      </c>
      <c r="I40" s="56">
        <v>0</v>
      </c>
      <c r="J40" s="56">
        <f>(F40/F39-1)*100</f>
        <v>4.5710042278963803</v>
      </c>
      <c r="K40" s="56">
        <f t="shared" ref="K40:L43" si="3">(G40/G39-1)*100</f>
        <v>-0.53436071307535471</v>
      </c>
      <c r="L40" s="57">
        <f t="shared" si="3"/>
        <v>-1.5144163878872852</v>
      </c>
      <c r="M40" s="158"/>
      <c r="N40" s="159"/>
      <c r="O40" s="159"/>
    </row>
    <row r="41" spans="3:15" ht="24.75" customHeight="1" x14ac:dyDescent="0.25">
      <c r="C41" s="156"/>
      <c r="D41" s="157">
        <v>42095</v>
      </c>
      <c r="E41" s="55">
        <f>+E40</f>
        <v>24500</v>
      </c>
      <c r="F41" s="55">
        <f>[29]Taxa_Cambio_USD_Dobra!$P$21</f>
        <v>22936.109545454543</v>
      </c>
      <c r="G41" s="58">
        <f>+'[24]Tx de Cambio Efetiva base 2001 '!AR28</f>
        <v>46.508803920075621</v>
      </c>
      <c r="H41" s="58">
        <f>+'[24]Tx de Cambio Efetiva base 2001 '!AR46</f>
        <v>135.79136028230559</v>
      </c>
      <c r="I41" s="56">
        <v>0</v>
      </c>
      <c r="J41" s="56">
        <f>(F41/F40-1)*100</f>
        <v>0.86679035478915978</v>
      </c>
      <c r="K41" s="56">
        <f t="shared" si="3"/>
        <v>0.26694011211199076</v>
      </c>
      <c r="L41" s="57">
        <f t="shared" si="3"/>
        <v>0.21220732834814626</v>
      </c>
      <c r="M41" s="158"/>
      <c r="N41" s="159"/>
      <c r="O41" s="159"/>
    </row>
    <row r="42" spans="3:15" ht="24.75" customHeight="1" x14ac:dyDescent="0.25">
      <c r="C42" s="156"/>
      <c r="D42" s="157">
        <v>42125</v>
      </c>
      <c r="E42" s="55">
        <v>24500</v>
      </c>
      <c r="F42" s="55">
        <v>22118.91</v>
      </c>
      <c r="G42" s="58">
        <f>+'[24]Tx de Cambio Efetiva base 2001 '!AS28</f>
        <v>46.880160985152322</v>
      </c>
      <c r="H42" s="58">
        <f>+'[24]Tx de Cambio Efetiva base 2001 '!AS46</f>
        <v>136.35260761493228</v>
      </c>
      <c r="I42" s="56">
        <v>0</v>
      </c>
      <c r="J42" s="56">
        <f>(F42/F41-1)*100</f>
        <v>-3.5629387967258563</v>
      </c>
      <c r="K42" s="56">
        <f t="shared" si="3"/>
        <v>0.79846616936196657</v>
      </c>
      <c r="L42" s="57">
        <f t="shared" si="3"/>
        <v>0.41331593663975763</v>
      </c>
      <c r="M42" s="158"/>
      <c r="N42" s="159"/>
      <c r="O42" s="159"/>
    </row>
    <row r="43" spans="3:15" ht="24.75" customHeight="1" x14ac:dyDescent="0.25">
      <c r="C43" s="156"/>
      <c r="D43" s="157">
        <v>42156</v>
      </c>
      <c r="E43" s="55">
        <v>24500</v>
      </c>
      <c r="F43" s="55">
        <v>22034.725909090899</v>
      </c>
      <c r="G43" s="58">
        <f>+'[24]Tx de Cambio Efetiva base 2001 '!AT28</f>
        <v>47.575323779790416</v>
      </c>
      <c r="H43" s="58">
        <f>+'[24]Tx de Cambio Efetiva base 2001 '!AT46</f>
        <v>138.35775215327578</v>
      </c>
      <c r="I43" s="56">
        <v>0</v>
      </c>
      <c r="J43" s="56">
        <f>(F43/F42-1)*100</f>
        <v>-0.38059782742052573</v>
      </c>
      <c r="K43" s="56">
        <f t="shared" si="3"/>
        <v>1.482850698525251</v>
      </c>
      <c r="L43" s="57">
        <f t="shared" si="3"/>
        <v>1.4705582631805214</v>
      </c>
      <c r="M43" s="158"/>
      <c r="N43" s="159"/>
      <c r="O43" s="159"/>
    </row>
    <row r="44" spans="3:15" ht="24.75" customHeight="1" x14ac:dyDescent="0.25">
      <c r="C44" s="156"/>
      <c r="D44" s="157">
        <v>42186</v>
      </c>
      <c r="E44" s="55">
        <v>24500</v>
      </c>
      <c r="F44" s="55">
        <v>22446.694090909099</v>
      </c>
      <c r="G44" s="58">
        <f>+'[24]Tx de Cambio Efetiva base 2001 '!AU28</f>
        <v>47.974936774165805</v>
      </c>
      <c r="H44" s="58">
        <f>+'[24]Tx de Cambio Efetiva base 2001 '!AU46</f>
        <v>140.28049605514809</v>
      </c>
      <c r="I44" s="56">
        <v>0</v>
      </c>
      <c r="J44" s="56">
        <f>(F44/F43-1)*100</f>
        <v>1.8696315239765893</v>
      </c>
      <c r="K44" s="56">
        <f>(G44/G43-1)*100</f>
        <v>0.83995853864295977</v>
      </c>
      <c r="L44" s="57">
        <f>(H44/H43-1)*100</f>
        <v>1.3896900404555934</v>
      </c>
      <c r="M44" s="158"/>
      <c r="N44" s="159"/>
      <c r="O44" s="159"/>
    </row>
    <row r="45" spans="3:15" ht="24.75" customHeight="1" x14ac:dyDescent="0.25">
      <c r="C45" s="156"/>
      <c r="D45" s="157">
        <v>42217</v>
      </c>
      <c r="E45" s="55">
        <v>24500</v>
      </c>
      <c r="F45" s="55">
        <f>[29]Taxa_Cambio_USD_Dobra!$P$35</f>
        <v>22189.170476190477</v>
      </c>
      <c r="G45" s="58">
        <f>+'[24]Tx de Cambio Efetiva base 2001 '!AV28</f>
        <v>48.179213941278817</v>
      </c>
      <c r="H45" s="58">
        <f>+'[24]Tx de Cambio Efetiva base 2001 '!AV46</f>
        <v>141.08815637801283</v>
      </c>
      <c r="I45" s="56">
        <v>0</v>
      </c>
      <c r="J45" s="56">
        <f t="shared" ref="J45:L49" si="4">(F45/F44-1)*100</f>
        <v>-1.1472674491649015</v>
      </c>
      <c r="K45" s="56">
        <f t="shared" si="4"/>
        <v>0.42579976306089673</v>
      </c>
      <c r="L45" s="57">
        <f t="shared" si="4"/>
        <v>0.57574669720816818</v>
      </c>
      <c r="M45" s="158"/>
      <c r="N45" s="159"/>
      <c r="O45" s="159"/>
    </row>
    <row r="46" spans="3:15" ht="24.75" customHeight="1" x14ac:dyDescent="0.25">
      <c r="C46" s="156"/>
      <c r="D46" s="157">
        <v>42248</v>
      </c>
      <c r="E46" s="55">
        <v>24500</v>
      </c>
      <c r="F46" s="55">
        <v>21995.646666666664</v>
      </c>
      <c r="G46" s="58">
        <f>+'[24]Tx de Cambio Efetiva base 2001 '!AW28</f>
        <v>48.762377561024934</v>
      </c>
      <c r="H46" s="58">
        <f>+'[24]Tx de Cambio Efetiva base 2001 '!AW46</f>
        <v>141.64959525488584</v>
      </c>
      <c r="I46" s="56">
        <v>0</v>
      </c>
      <c r="J46" s="56">
        <f>(F46/F45-1)*100</f>
        <v>-0.87215432290029815</v>
      </c>
      <c r="K46" s="56">
        <f>(G46/G45-1)*100</f>
        <v>1.2104050108764364</v>
      </c>
      <c r="L46" s="57">
        <f>(H46/H45-1)*100</f>
        <v>0.39793480281133942</v>
      </c>
      <c r="M46" s="158"/>
      <c r="N46" s="159"/>
      <c r="O46" s="159"/>
    </row>
    <row r="47" spans="3:15" ht="24.75" customHeight="1" x14ac:dyDescent="0.25">
      <c r="C47" s="156"/>
      <c r="D47" s="157">
        <v>42278</v>
      </c>
      <c r="E47" s="55">
        <v>24500</v>
      </c>
      <c r="F47" s="55">
        <v>21957.07454545455</v>
      </c>
      <c r="G47" s="58">
        <f>+'[24]Tx de Cambio Efetiva base 2001 '!AX28</f>
        <v>48.989875396318396</v>
      </c>
      <c r="H47" s="58">
        <f>+'[24]Tx de Cambio Efetiva base 2001 '!AX46</f>
        <v>142.27237065182476</v>
      </c>
      <c r="I47" s="56">
        <v>0</v>
      </c>
      <c r="J47" s="56">
        <f t="shared" si="4"/>
        <v>-0.1753625242151502</v>
      </c>
      <c r="K47" s="56">
        <f t="shared" si="4"/>
        <v>0.46654377139170311</v>
      </c>
      <c r="L47" s="57">
        <f t="shared" si="4"/>
        <v>0.43965914326709044</v>
      </c>
      <c r="M47" s="160"/>
      <c r="N47" s="159"/>
      <c r="O47" s="159"/>
    </row>
    <row r="48" spans="3:15" ht="24.75" customHeight="1" x14ac:dyDescent="0.25">
      <c r="C48" s="156"/>
      <c r="D48" s="157">
        <v>42309</v>
      </c>
      <c r="E48" s="55">
        <v>24500</v>
      </c>
      <c r="F48" s="55">
        <f>[29]Taxa_Cambio_USD_Dobra!$P$46</f>
        <v>22950.647619047621</v>
      </c>
      <c r="G48" s="58">
        <f>+'[24]Tx de Cambio Efetiva base 2001 '!AY28</f>
        <v>48.553263592211479</v>
      </c>
      <c r="H48" s="58">
        <f>+'[24]Tx de Cambio Efetiva base 2001 '!AY46</f>
        <v>141.529546839153</v>
      </c>
      <c r="I48" s="56">
        <v>0</v>
      </c>
      <c r="J48" s="56">
        <f>(F48/F47-1)*100</f>
        <v>4.5250703664380332</v>
      </c>
      <c r="K48" s="56">
        <f t="shared" si="4"/>
        <v>-0.89122864790901479</v>
      </c>
      <c r="L48" s="57">
        <f t="shared" si="4"/>
        <v>-0.52211389271753506</v>
      </c>
      <c r="M48" s="158"/>
      <c r="N48" s="159"/>
      <c r="O48" s="159"/>
    </row>
    <row r="49" spans="2:15" ht="24.75" customHeight="1" thickBot="1" x14ac:dyDescent="0.3">
      <c r="C49" s="161"/>
      <c r="D49" s="162">
        <v>42339</v>
      </c>
      <c r="E49" s="65">
        <v>24500</v>
      </c>
      <c r="F49" s="65">
        <f>[30]Taxa_Cambio_USD_Dobra!$P$49</f>
        <v>22722.941904761905</v>
      </c>
      <c r="G49" s="85">
        <f>'[24]Tx de Cambio Efetiva base 2001 '!AZ28</f>
        <v>48.648886786594829</v>
      </c>
      <c r="H49" s="85">
        <f>'[24]Tx de Cambio Efetiva base 2001 '!AZ46</f>
        <v>142.74023613710617</v>
      </c>
      <c r="I49" s="66">
        <v>0</v>
      </c>
      <c r="J49" s="66">
        <f>(F49/F48-1)*100</f>
        <v>-0.99215376430917823</v>
      </c>
      <c r="K49" s="66">
        <f t="shared" si="4"/>
        <v>0.19694493697985926</v>
      </c>
      <c r="L49" s="67">
        <f t="shared" si="4"/>
        <v>0.85543218712422764</v>
      </c>
      <c r="M49" s="158"/>
      <c r="N49" s="159"/>
      <c r="O49" s="159"/>
    </row>
    <row r="50" spans="2:15" ht="14.25" x14ac:dyDescent="0.2">
      <c r="B50" s="151"/>
      <c r="C50" s="163" t="s">
        <v>32</v>
      </c>
      <c r="D50" s="164"/>
      <c r="E50" s="75"/>
      <c r="F50" s="76"/>
      <c r="G50" s="77"/>
      <c r="H50" s="77"/>
      <c r="I50" s="78"/>
      <c r="J50" s="78"/>
      <c r="K50" s="78"/>
      <c r="L50" s="78"/>
      <c r="M50" s="158"/>
      <c r="N50" s="159"/>
      <c r="O50" s="159"/>
    </row>
    <row r="51" spans="2:15" ht="25.5" customHeight="1" x14ac:dyDescent="0.2">
      <c r="B51" s="151"/>
      <c r="C51" s="251" t="s">
        <v>100</v>
      </c>
      <c r="D51" s="251"/>
      <c r="E51" s="251"/>
      <c r="F51" s="251"/>
      <c r="G51" s="251"/>
      <c r="H51" s="251"/>
      <c r="I51" s="251"/>
      <c r="J51" s="251"/>
      <c r="K51" s="251"/>
      <c r="L51" s="251"/>
      <c r="M51" s="158"/>
      <c r="N51" s="159"/>
      <c r="O51" s="159"/>
    </row>
    <row r="52" spans="2:15" x14ac:dyDescent="0.2">
      <c r="B52" s="151"/>
      <c r="C52" s="165" t="s">
        <v>36</v>
      </c>
      <c r="D52" s="166"/>
      <c r="E52" s="166"/>
      <c r="F52" s="166"/>
      <c r="G52" s="166"/>
      <c r="H52" s="166"/>
      <c r="I52" s="166"/>
      <c r="J52" s="166"/>
      <c r="K52" s="166"/>
      <c r="L52" s="166"/>
    </row>
    <row r="65" spans="6:6" x14ac:dyDescent="0.2">
      <c r="F65" s="151"/>
    </row>
  </sheetData>
  <mergeCells count="2">
    <mergeCell ref="I8:L8"/>
    <mergeCell ref="C51:L51"/>
  </mergeCells>
  <printOptions horizontalCentered="1" verticalCentered="1"/>
  <pageMargins left="0" right="0" top="0" bottom="0" header="0" footer="0"/>
  <pageSetup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54" sqref="P54"/>
    </sheetView>
  </sheetViews>
  <sheetFormatPr defaultRowHeight="15" x14ac:dyDescent="0.25"/>
  <cols>
    <col min="1" max="16384" width="9.140625" style="167"/>
  </cols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4</vt:i4>
      </vt:variant>
    </vt:vector>
  </HeadingPairs>
  <TitlesOfParts>
    <vt:vector size="13" baseType="lpstr">
      <vt:lpstr>Balança Comercial CIF</vt:lpstr>
      <vt:lpstr>Balança Comercial Geográfica </vt:lpstr>
      <vt:lpstr>Parceiros comerciais </vt:lpstr>
      <vt:lpstr>Tx de Cambio exc. ESP e China</vt:lpstr>
      <vt:lpstr>Taxa de Câmbio Efetiva</vt:lpstr>
      <vt:lpstr>Publicação Base Dez2014 </vt:lpstr>
      <vt:lpstr>Publicação exc. ESP e China </vt:lpstr>
      <vt:lpstr>Publicação Base 2008</vt:lpstr>
      <vt:lpstr>Análise Gráfica</vt:lpstr>
      <vt:lpstr>'Publicação Base 2008'!Área_de_Impressão</vt:lpstr>
      <vt:lpstr>'Publicação Base Dez2014 '!Área_de_Impressão</vt:lpstr>
      <vt:lpstr>'Publicação exc. ESP e China '!Área_de_Impressão</vt:lpstr>
      <vt:lpstr>'Taxa de Câmbio Efetiva'!Área_de_Impressão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Nádia</dc:creator>
  <cp:lastModifiedBy>Alsis Irene Vera Cruz</cp:lastModifiedBy>
  <cp:lastPrinted>2017-08-21T09:11:26Z</cp:lastPrinted>
  <dcterms:created xsi:type="dcterms:W3CDTF">2013-10-15T14:26:18Z</dcterms:created>
  <dcterms:modified xsi:type="dcterms:W3CDTF">2017-09-13T10:22:36Z</dcterms:modified>
</cp:coreProperties>
</file>